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9975" activeTab="0"/>
  </bookViews>
  <sheets>
    <sheet name="start page" sheetId="1" r:id="rId1"/>
    <sheet name="variables" sheetId="2" r:id="rId2"/>
    <sheet name="tables etc" sheetId="3" r:id="rId3"/>
    <sheet name="old drug" sheetId="4" r:id="rId4"/>
    <sheet name="new drug" sheetId="5" r:id="rId5"/>
  </sheets>
  <definedNames>
    <definedName name="age">'old drug'!$C$12:$C$82</definedName>
    <definedName name="Cost_hospitalization">'variables'!$G$15</definedName>
    <definedName name="Cost_new_drug">'variables'!$G$11</definedName>
    <definedName name="Cost_old_drug">'variables'!$G$13</definedName>
    <definedName name="cycle">'old drug'!$E$12:$E$82</definedName>
    <definedName name="Discount_Rate">'variables'!$G$35</definedName>
    <definedName name="HR_die_new_drug">'variables'!$G$17</definedName>
    <definedName name="HR_disease_new_drug">'variables'!$G$19</definedName>
    <definedName name="HR_hosp_new_drug">'variables'!$G$21</definedName>
    <definedName name="length_of_stay">'variables'!$G$33</definedName>
    <definedName name="mean_annual_wage">'variables'!$G$29</definedName>
    <definedName name="mean_daily_wage">'variables'!$G$31</definedName>
    <definedName name="prob">'tables etc'!$D$8</definedName>
    <definedName name="prob_die_disease">'tables etc'!$K$7:$L$77</definedName>
    <definedName name="prob_die_healthy">'tables etc'!$H$7:$I$77</definedName>
    <definedName name="prob_disease">'tables etc'!$N$7:$O$77</definedName>
    <definedName name="prob_hosp_disease">'tables etc'!$Q$7:$R$77</definedName>
    <definedName name="start_age">'tables etc'!$E$12</definedName>
    <definedName name="study_perspective">'tables etc'!$D$21</definedName>
    <definedName name="time_horizon">'tables etc'!$D$16</definedName>
    <definedName name="total_costs_new">'new drug'!$AN$8</definedName>
    <definedName name="total_costs_old">'old drug'!$AN$8</definedName>
    <definedName name="total_qalys_new">'new drug'!$AY$8</definedName>
    <definedName name="total_qalys_old">'old drug'!$AY$8</definedName>
    <definedName name="Utility_decrement_hospitalization">'variables'!$G$27</definedName>
    <definedName name="Utility_disease">'variables'!$G$25</definedName>
    <definedName name="Utility_healthy">'variables'!$G$23</definedName>
  </definedNames>
  <calcPr fullCalcOnLoad="1"/>
</workbook>
</file>

<file path=xl/sharedStrings.xml><?xml version="1.0" encoding="utf-8"?>
<sst xmlns="http://schemas.openxmlformats.org/spreadsheetml/2006/main" count="63" uniqueCount="38">
  <si>
    <t>model type</t>
  </si>
  <si>
    <t>probabilistic</t>
  </si>
  <si>
    <t>deterministic</t>
  </si>
  <si>
    <t>startage</t>
  </si>
  <si>
    <t>time horizon</t>
  </si>
  <si>
    <t>5y</t>
  </si>
  <si>
    <t>10y</t>
  </si>
  <si>
    <t>lifetime</t>
  </si>
  <si>
    <t>study perspective</t>
  </si>
  <si>
    <t>health care payer</t>
  </si>
  <si>
    <t>societal</t>
  </si>
  <si>
    <t>beta</t>
  </si>
  <si>
    <t>Cost new drug</t>
  </si>
  <si>
    <t>gamma</t>
  </si>
  <si>
    <t>Cost old drug</t>
  </si>
  <si>
    <t>Cost hospitalization</t>
  </si>
  <si>
    <t>HR die new drug</t>
  </si>
  <si>
    <t>normal</t>
  </si>
  <si>
    <t>HR disease new drug</t>
  </si>
  <si>
    <t>HR hosp new drug</t>
  </si>
  <si>
    <t>Utility healthy</t>
  </si>
  <si>
    <t>Utility disease</t>
  </si>
  <si>
    <t>Utility decrement hospitalization</t>
  </si>
  <si>
    <t>Discount Rate</t>
  </si>
  <si>
    <t>-</t>
  </si>
  <si>
    <t>Prob Die Healthy</t>
  </si>
  <si>
    <t>Prob Die Disease</t>
  </si>
  <si>
    <t>Prob Disease</t>
  </si>
  <si>
    <t>Prob Hosp Disease</t>
  </si>
  <si>
    <t>Age</t>
  </si>
  <si>
    <t>Value</t>
  </si>
  <si>
    <t>Mean annual wage</t>
  </si>
  <si>
    <t>Mean daily wage</t>
  </si>
  <si>
    <t>length of stay (hosp)</t>
  </si>
  <si>
    <t>new drug</t>
  </si>
  <si>
    <t>old drug</t>
  </si>
  <si>
    <t>40y</t>
  </si>
  <si>
    <t>60y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</si>
</sst>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2" fillId="19" borderId="10" xfId="0" applyNumberFormat="1" applyFont="1" applyFill="1" applyBorder="1" applyAlignment="1">
      <alignment horizontal="center"/>
    </xf>
    <xf numFmtId="2" fontId="2" fillId="19" borderId="10" xfId="0" applyNumberFormat="1" applyFont="1" applyFill="1" applyBorder="1" applyAlignment="1">
      <alignment horizontal="center"/>
    </xf>
    <xf numFmtId="164" fontId="0" fillId="19" borderId="10" xfId="0" applyNumberForma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9" fontId="0" fillId="0" borderId="0" xfId="57" applyFont="1" applyAlignment="1">
      <alignment horizontal="center"/>
    </xf>
    <xf numFmtId="10" fontId="0" fillId="0" borderId="0" xfId="57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0" fillId="19" borderId="10" xfId="0" applyNumberFormat="1" applyFill="1" applyBorder="1" applyAlignment="1">
      <alignment horizontal="center"/>
    </xf>
    <xf numFmtId="169" fontId="2" fillId="19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0" fillId="0" borderId="11" xfId="0" applyFont="1" applyBorder="1" applyAlignment="1">
      <alignment/>
    </xf>
    <xf numFmtId="3" fontId="0" fillId="19" borderId="10" xfId="0" applyNumberFormat="1" applyFill="1" applyBorder="1" applyAlignment="1">
      <alignment horizontal="center"/>
    </xf>
    <xf numFmtId="3" fontId="0" fillId="12" borderId="10" xfId="0" applyNumberFormat="1" applyFill="1" applyBorder="1" applyAlignment="1">
      <alignment horizontal="center"/>
    </xf>
    <xf numFmtId="168" fontId="0" fillId="12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47625</xdr:rowOff>
    </xdr:from>
    <xdr:to>
      <xdr:col>12</xdr:col>
      <xdr:colOff>171450</xdr:colOff>
      <xdr:row>6</xdr:row>
      <xdr:rowOff>180975</xdr:rowOff>
    </xdr:to>
    <xdr:sp>
      <xdr:nvSpPr>
        <xdr:cNvPr id="1" name="Rounded Rectangle 1"/>
        <xdr:cNvSpPr>
          <a:spLocks/>
        </xdr:cNvSpPr>
      </xdr:nvSpPr>
      <xdr:spPr>
        <a:xfrm>
          <a:off x="1009650" y="428625"/>
          <a:ext cx="4524375" cy="895350"/>
        </a:xfrm>
        <a:prstGeom prst="roundRect">
          <a:avLst/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3</xdr:row>
      <xdr:rowOff>28575</xdr:rowOff>
    </xdr:from>
    <xdr:to>
      <xdr:col>3</xdr:col>
      <xdr:colOff>704850</xdr:colOff>
      <xdr:row>4</xdr:row>
      <xdr:rowOff>152400</xdr:rowOff>
    </xdr:to>
    <xdr:sp>
      <xdr:nvSpPr>
        <xdr:cNvPr id="2" name="Rounded Rectangle 2"/>
        <xdr:cNvSpPr>
          <a:spLocks/>
        </xdr:cNvSpPr>
      </xdr:nvSpPr>
      <xdr:spPr>
        <a:xfrm>
          <a:off x="1181100" y="600075"/>
          <a:ext cx="895350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 type</a:t>
          </a:r>
        </a:p>
      </xdr:txBody>
    </xdr:sp>
    <xdr:clientData/>
  </xdr:twoCellAnchor>
  <xdr:twoCellAnchor>
    <xdr:from>
      <xdr:col>3</xdr:col>
      <xdr:colOff>742950</xdr:colOff>
      <xdr:row>3</xdr:row>
      <xdr:rowOff>28575</xdr:rowOff>
    </xdr:from>
    <xdr:to>
      <xdr:col>5</xdr:col>
      <xdr:colOff>600075</xdr:colOff>
      <xdr:row>4</xdr:row>
      <xdr:rowOff>152400</xdr:rowOff>
    </xdr:to>
    <xdr:sp>
      <xdr:nvSpPr>
        <xdr:cNvPr id="3" name="Rounded Rectangle 9"/>
        <xdr:cNvSpPr>
          <a:spLocks/>
        </xdr:cNvSpPr>
      </xdr:nvSpPr>
      <xdr:spPr>
        <a:xfrm>
          <a:off x="2114550" y="600075"/>
          <a:ext cx="771525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 age</a:t>
          </a:r>
        </a:p>
      </xdr:txBody>
    </xdr:sp>
    <xdr:clientData/>
  </xdr:twoCellAnchor>
  <xdr:twoCellAnchor>
    <xdr:from>
      <xdr:col>6</xdr:col>
      <xdr:colOff>28575</xdr:colOff>
      <xdr:row>3</xdr:row>
      <xdr:rowOff>28575</xdr:rowOff>
    </xdr:from>
    <xdr:to>
      <xdr:col>9</xdr:col>
      <xdr:colOff>66675</xdr:colOff>
      <xdr:row>4</xdr:row>
      <xdr:rowOff>152400</xdr:rowOff>
    </xdr:to>
    <xdr:sp>
      <xdr:nvSpPr>
        <xdr:cNvPr id="4" name="Rounded Rectangle 10"/>
        <xdr:cNvSpPr>
          <a:spLocks/>
        </xdr:cNvSpPr>
      </xdr:nvSpPr>
      <xdr:spPr>
        <a:xfrm>
          <a:off x="2981325" y="600075"/>
          <a:ext cx="981075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time horizon</a:t>
          </a:r>
        </a:p>
      </xdr:txBody>
    </xdr:sp>
    <xdr:clientData/>
  </xdr:twoCellAnchor>
  <xdr:twoCellAnchor>
    <xdr:from>
      <xdr:col>9</xdr:col>
      <xdr:colOff>114300</xdr:colOff>
      <xdr:row>3</xdr:row>
      <xdr:rowOff>28575</xdr:rowOff>
    </xdr:from>
    <xdr:to>
      <xdr:col>11</xdr:col>
      <xdr:colOff>571500</xdr:colOff>
      <xdr:row>4</xdr:row>
      <xdr:rowOff>152400</xdr:rowOff>
    </xdr:to>
    <xdr:sp>
      <xdr:nvSpPr>
        <xdr:cNvPr id="5" name="Rounded Rectangle 11"/>
        <xdr:cNvSpPr>
          <a:spLocks/>
        </xdr:cNvSpPr>
      </xdr:nvSpPr>
      <xdr:spPr>
        <a:xfrm>
          <a:off x="4010025" y="600075"/>
          <a:ext cx="1314450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study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perspective</a:t>
          </a:r>
        </a:p>
      </xdr:txBody>
    </xdr:sp>
    <xdr:clientData/>
  </xdr:twoCellAnchor>
  <xdr:twoCellAnchor editAs="oneCell">
    <xdr:from>
      <xdr:col>18</xdr:col>
      <xdr:colOff>209550</xdr:colOff>
      <xdr:row>3</xdr:row>
      <xdr:rowOff>123825</xdr:rowOff>
    </xdr:from>
    <xdr:to>
      <xdr:col>24</xdr:col>
      <xdr:colOff>47625</xdr:colOff>
      <xdr:row>19</xdr:row>
      <xdr:rowOff>133350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695325"/>
          <a:ext cx="34956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12</xdr:row>
      <xdr:rowOff>47625</xdr:rowOff>
    </xdr:from>
    <xdr:to>
      <xdr:col>6</xdr:col>
      <xdr:colOff>104775</xdr:colOff>
      <xdr:row>14</xdr:row>
      <xdr:rowOff>0</xdr:rowOff>
    </xdr:to>
    <xdr:sp>
      <xdr:nvSpPr>
        <xdr:cNvPr id="7" name="Rounded Rectangle 12"/>
        <xdr:cNvSpPr>
          <a:spLocks/>
        </xdr:cNvSpPr>
      </xdr:nvSpPr>
      <xdr:spPr>
        <a:xfrm>
          <a:off x="2181225" y="2333625"/>
          <a:ext cx="87630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costs (SEK)</a:t>
          </a:r>
        </a:p>
      </xdr:txBody>
    </xdr:sp>
    <xdr:clientData/>
  </xdr:twoCellAnchor>
  <xdr:twoCellAnchor>
    <xdr:from>
      <xdr:col>6</xdr:col>
      <xdr:colOff>133350</xdr:colOff>
      <xdr:row>12</xdr:row>
      <xdr:rowOff>47625</xdr:rowOff>
    </xdr:from>
    <xdr:to>
      <xdr:col>8</xdr:col>
      <xdr:colOff>47625</xdr:colOff>
      <xdr:row>14</xdr:row>
      <xdr:rowOff>0</xdr:rowOff>
    </xdr:to>
    <xdr:sp>
      <xdr:nvSpPr>
        <xdr:cNvPr id="8" name="Rounded Rectangle 14"/>
        <xdr:cNvSpPr>
          <a:spLocks/>
        </xdr:cNvSpPr>
      </xdr:nvSpPr>
      <xdr:spPr>
        <a:xfrm>
          <a:off x="3086100" y="2333625"/>
          <a:ext cx="6953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QALY</a:t>
          </a:r>
        </a:p>
      </xdr:txBody>
    </xdr:sp>
    <xdr:clientData/>
  </xdr:twoCellAnchor>
  <xdr:twoCellAnchor>
    <xdr:from>
      <xdr:col>8</xdr:col>
      <xdr:colOff>76200</xdr:colOff>
      <xdr:row>12</xdr:row>
      <xdr:rowOff>47625</xdr:rowOff>
    </xdr:from>
    <xdr:to>
      <xdr:col>10</xdr:col>
      <xdr:colOff>85725</xdr:colOff>
      <xdr:row>14</xdr:row>
      <xdr:rowOff>0</xdr:rowOff>
    </xdr:to>
    <xdr:sp>
      <xdr:nvSpPr>
        <xdr:cNvPr id="9" name="Rounded Rectangle 15"/>
        <xdr:cNvSpPr>
          <a:spLocks/>
        </xdr:cNvSpPr>
      </xdr:nvSpPr>
      <xdr:spPr>
        <a:xfrm>
          <a:off x="3810000" y="2333625"/>
          <a:ext cx="8477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costs (SEK)</a:t>
          </a:r>
        </a:p>
      </xdr:txBody>
    </xdr:sp>
    <xdr:clientData/>
  </xdr:twoCellAnchor>
  <xdr:twoCellAnchor>
    <xdr:from>
      <xdr:col>10</xdr:col>
      <xdr:colOff>123825</xdr:colOff>
      <xdr:row>12</xdr:row>
      <xdr:rowOff>47625</xdr:rowOff>
    </xdr:from>
    <xdr:to>
      <xdr:col>12</xdr:col>
      <xdr:colOff>28575</xdr:colOff>
      <xdr:row>14</xdr:row>
      <xdr:rowOff>0</xdr:rowOff>
    </xdr:to>
    <xdr:sp>
      <xdr:nvSpPr>
        <xdr:cNvPr id="10" name="Rounded Rectangle 16"/>
        <xdr:cNvSpPr>
          <a:spLocks/>
        </xdr:cNvSpPr>
      </xdr:nvSpPr>
      <xdr:spPr>
        <a:xfrm>
          <a:off x="4695825" y="2333625"/>
          <a:ext cx="6953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QALY</a:t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12</xdr:col>
      <xdr:colOff>38100</xdr:colOff>
      <xdr:row>11</xdr:row>
      <xdr:rowOff>180975</xdr:rowOff>
    </xdr:to>
    <xdr:sp>
      <xdr:nvSpPr>
        <xdr:cNvPr id="11" name="Rounded Rectangle 17"/>
        <xdr:cNvSpPr>
          <a:spLocks/>
        </xdr:cNvSpPr>
      </xdr:nvSpPr>
      <xdr:spPr>
        <a:xfrm>
          <a:off x="3781425" y="2085975"/>
          <a:ext cx="1619250" cy="190500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incremental</a:t>
          </a:r>
        </a:p>
      </xdr:txBody>
    </xdr:sp>
    <xdr:clientData/>
  </xdr:twoCellAnchor>
  <xdr:twoCellAnchor>
    <xdr:from>
      <xdr:col>12</xdr:col>
      <xdr:colOff>66675</xdr:colOff>
      <xdr:row>10</xdr:row>
      <xdr:rowOff>104775</xdr:rowOff>
    </xdr:from>
    <xdr:to>
      <xdr:col>14</xdr:col>
      <xdr:colOff>95250</xdr:colOff>
      <xdr:row>14</xdr:row>
      <xdr:rowOff>9525</xdr:rowOff>
    </xdr:to>
    <xdr:sp>
      <xdr:nvSpPr>
        <xdr:cNvPr id="12" name="Rounded Rectangle 18"/>
        <xdr:cNvSpPr>
          <a:spLocks/>
        </xdr:cNvSpPr>
      </xdr:nvSpPr>
      <xdr:spPr>
        <a:xfrm>
          <a:off x="5429250" y="2009775"/>
          <a:ext cx="933450" cy="533400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ICER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(SEK/QALY(</a:t>
          </a:r>
        </a:p>
      </xdr:txBody>
    </xdr:sp>
    <xdr:clientData/>
  </xdr:twoCellAnchor>
  <xdr:twoCellAnchor>
    <xdr:from>
      <xdr:col>1</xdr:col>
      <xdr:colOff>609600</xdr:colOff>
      <xdr:row>10</xdr:row>
      <xdr:rowOff>9525</xdr:rowOff>
    </xdr:from>
    <xdr:to>
      <xdr:col>15</xdr:col>
      <xdr:colOff>0</xdr:colOff>
      <xdr:row>11</xdr:row>
      <xdr:rowOff>19050</xdr:rowOff>
    </xdr:to>
    <xdr:sp>
      <xdr:nvSpPr>
        <xdr:cNvPr id="13" name="Left Bracket 19"/>
        <xdr:cNvSpPr>
          <a:spLocks/>
        </xdr:cNvSpPr>
      </xdr:nvSpPr>
      <xdr:spPr>
        <a:xfrm rot="5400000">
          <a:off x="1219200" y="1914525"/>
          <a:ext cx="5210175" cy="200025"/>
        </a:xfrm>
        <a:prstGeom prst="leftBracket">
          <a:avLst>
            <a:gd name="adj" fmla="val -4792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47625</xdr:rowOff>
    </xdr:from>
    <xdr:to>
      <xdr:col>15</xdr:col>
      <xdr:colOff>0</xdr:colOff>
      <xdr:row>19</xdr:row>
      <xdr:rowOff>152400</xdr:rowOff>
    </xdr:to>
    <xdr:sp>
      <xdr:nvSpPr>
        <xdr:cNvPr id="14" name="Left Bracket 20"/>
        <xdr:cNvSpPr>
          <a:spLocks/>
        </xdr:cNvSpPr>
      </xdr:nvSpPr>
      <xdr:spPr>
        <a:xfrm rot="16200000">
          <a:off x="1219200" y="3076575"/>
          <a:ext cx="5210175" cy="161925"/>
        </a:xfrm>
        <a:prstGeom prst="leftBracket">
          <a:avLst>
            <a:gd name="adj" fmla="val -4836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10</xdr:row>
      <xdr:rowOff>0</xdr:rowOff>
    </xdr:from>
    <xdr:to>
      <xdr:col>3</xdr:col>
      <xdr:colOff>762000</xdr:colOff>
      <xdr:row>11</xdr:row>
      <xdr:rowOff>66675</xdr:rowOff>
    </xdr:to>
    <xdr:sp>
      <xdr:nvSpPr>
        <xdr:cNvPr id="15" name="Rounded Rectangle 21"/>
        <xdr:cNvSpPr>
          <a:spLocks/>
        </xdr:cNvSpPr>
      </xdr:nvSpPr>
      <xdr:spPr>
        <a:xfrm>
          <a:off x="1209675" y="1905000"/>
          <a:ext cx="923925" cy="2571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results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38100</xdr:rowOff>
    </xdr:from>
    <xdr:to>
      <xdr:col>7</xdr:col>
      <xdr:colOff>9525</xdr:colOff>
      <xdr:row>8</xdr:row>
      <xdr:rowOff>161925</xdr:rowOff>
    </xdr:to>
    <xdr:sp>
      <xdr:nvSpPr>
        <xdr:cNvPr id="1" name="Rounded Rectangle 1"/>
        <xdr:cNvSpPr>
          <a:spLocks/>
        </xdr:cNvSpPr>
      </xdr:nvSpPr>
      <xdr:spPr>
        <a:xfrm>
          <a:off x="3267075" y="1371600"/>
          <a:ext cx="942975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 value</a:t>
          </a:r>
        </a:p>
      </xdr:txBody>
    </xdr:sp>
    <xdr:clientData/>
  </xdr:twoCellAnchor>
  <xdr:twoCellAnchor>
    <xdr:from>
      <xdr:col>7</xdr:col>
      <xdr:colOff>47625</xdr:colOff>
      <xdr:row>7</xdr:row>
      <xdr:rowOff>38100</xdr:rowOff>
    </xdr:from>
    <xdr:to>
      <xdr:col>9</xdr:col>
      <xdr:colOff>28575</xdr:colOff>
      <xdr:row>8</xdr:row>
      <xdr:rowOff>161925</xdr:rowOff>
    </xdr:to>
    <xdr:sp>
      <xdr:nvSpPr>
        <xdr:cNvPr id="2" name="Rounded Rectangle 2"/>
        <xdr:cNvSpPr>
          <a:spLocks/>
        </xdr:cNvSpPr>
      </xdr:nvSpPr>
      <xdr:spPr>
        <a:xfrm>
          <a:off x="4248150" y="1371600"/>
          <a:ext cx="752475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</a:t>
          </a:r>
        </a:p>
      </xdr:txBody>
    </xdr:sp>
    <xdr:clientData/>
  </xdr:twoCellAnchor>
  <xdr:twoCellAnchor>
    <xdr:from>
      <xdr:col>9</xdr:col>
      <xdr:colOff>95250</xdr:colOff>
      <xdr:row>7</xdr:row>
      <xdr:rowOff>38100</xdr:rowOff>
    </xdr:from>
    <xdr:to>
      <xdr:col>11</xdr:col>
      <xdr:colOff>0</xdr:colOff>
      <xdr:row>8</xdr:row>
      <xdr:rowOff>161925</xdr:rowOff>
    </xdr:to>
    <xdr:sp>
      <xdr:nvSpPr>
        <xdr:cNvPr id="3" name="Rounded Rectangle 3"/>
        <xdr:cNvSpPr>
          <a:spLocks/>
        </xdr:cNvSpPr>
      </xdr:nvSpPr>
      <xdr:spPr>
        <a:xfrm>
          <a:off x="5067300" y="1371600"/>
          <a:ext cx="752475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</a:p>
      </xdr:txBody>
    </xdr:sp>
    <xdr:clientData/>
  </xdr:twoCellAnchor>
  <xdr:twoCellAnchor>
    <xdr:from>
      <xdr:col>11</xdr:col>
      <xdr:colOff>47625</xdr:colOff>
      <xdr:row>7</xdr:row>
      <xdr:rowOff>38100</xdr:rowOff>
    </xdr:from>
    <xdr:to>
      <xdr:col>13</xdr:col>
      <xdr:colOff>28575</xdr:colOff>
      <xdr:row>8</xdr:row>
      <xdr:rowOff>161925</xdr:rowOff>
    </xdr:to>
    <xdr:sp>
      <xdr:nvSpPr>
        <xdr:cNvPr id="4" name="Rounded Rectangle 4"/>
        <xdr:cNvSpPr>
          <a:spLocks/>
        </xdr:cNvSpPr>
      </xdr:nvSpPr>
      <xdr:spPr>
        <a:xfrm>
          <a:off x="5867400" y="1371600"/>
          <a:ext cx="695325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alpha</a:t>
          </a:r>
        </a:p>
      </xdr:txBody>
    </xdr:sp>
    <xdr:clientData/>
  </xdr:twoCellAnchor>
  <xdr:twoCellAnchor>
    <xdr:from>
      <xdr:col>13</xdr:col>
      <xdr:colOff>57150</xdr:colOff>
      <xdr:row>7</xdr:row>
      <xdr:rowOff>38100</xdr:rowOff>
    </xdr:from>
    <xdr:to>
      <xdr:col>15</xdr:col>
      <xdr:colOff>19050</xdr:colOff>
      <xdr:row>8</xdr:row>
      <xdr:rowOff>161925</xdr:rowOff>
    </xdr:to>
    <xdr:sp>
      <xdr:nvSpPr>
        <xdr:cNvPr id="5" name="Rounded Rectangle 5"/>
        <xdr:cNvSpPr>
          <a:spLocks/>
        </xdr:cNvSpPr>
      </xdr:nvSpPr>
      <xdr:spPr>
        <a:xfrm>
          <a:off x="6591300" y="1371600"/>
          <a:ext cx="676275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beta</a:t>
          </a:r>
        </a:p>
      </xdr:txBody>
    </xdr:sp>
    <xdr:clientData/>
  </xdr:twoCellAnchor>
  <xdr:twoCellAnchor>
    <xdr:from>
      <xdr:col>15</xdr:col>
      <xdr:colOff>66675</xdr:colOff>
      <xdr:row>7</xdr:row>
      <xdr:rowOff>38100</xdr:rowOff>
    </xdr:from>
    <xdr:to>
      <xdr:col>17</xdr:col>
      <xdr:colOff>28575</xdr:colOff>
      <xdr:row>8</xdr:row>
      <xdr:rowOff>161925</xdr:rowOff>
    </xdr:to>
    <xdr:sp>
      <xdr:nvSpPr>
        <xdr:cNvPr id="6" name="Rounded Rectangle 6"/>
        <xdr:cNvSpPr>
          <a:spLocks/>
        </xdr:cNvSpPr>
      </xdr:nvSpPr>
      <xdr:spPr>
        <a:xfrm>
          <a:off x="7315200" y="1371600"/>
          <a:ext cx="933450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</a:t>
          </a:r>
        </a:p>
      </xdr:txBody>
    </xdr:sp>
    <xdr:clientData/>
  </xdr:twoCellAnchor>
  <xdr:twoCellAnchor>
    <xdr:from>
      <xdr:col>17</xdr:col>
      <xdr:colOff>66675</xdr:colOff>
      <xdr:row>7</xdr:row>
      <xdr:rowOff>38100</xdr:rowOff>
    </xdr:from>
    <xdr:to>
      <xdr:col>19</xdr:col>
      <xdr:colOff>28575</xdr:colOff>
      <xdr:row>8</xdr:row>
      <xdr:rowOff>161925</xdr:rowOff>
    </xdr:to>
    <xdr:sp>
      <xdr:nvSpPr>
        <xdr:cNvPr id="7" name="Rounded Rectangle 7"/>
        <xdr:cNvSpPr>
          <a:spLocks/>
        </xdr:cNvSpPr>
      </xdr:nvSpPr>
      <xdr:spPr>
        <a:xfrm>
          <a:off x="8286750" y="1371600"/>
          <a:ext cx="685800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20</xdr:col>
      <xdr:colOff>0</xdr:colOff>
      <xdr:row>6</xdr:row>
      <xdr:rowOff>9525</xdr:rowOff>
    </xdr:to>
    <xdr:sp>
      <xdr:nvSpPr>
        <xdr:cNvPr id="8" name="Left Bracket 8"/>
        <xdr:cNvSpPr>
          <a:spLocks/>
        </xdr:cNvSpPr>
      </xdr:nvSpPr>
      <xdr:spPr>
        <a:xfrm rot="5400000">
          <a:off x="1047750" y="952500"/>
          <a:ext cx="8001000" cy="200025"/>
        </a:xfrm>
        <a:prstGeom prst="leftBracket">
          <a:avLst>
            <a:gd name="adj" fmla="val -4862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180975</xdr:rowOff>
    </xdr:from>
    <xdr:to>
      <xdr:col>20</xdr:col>
      <xdr:colOff>0</xdr:colOff>
      <xdr:row>37</xdr:row>
      <xdr:rowOff>161925</xdr:rowOff>
    </xdr:to>
    <xdr:sp>
      <xdr:nvSpPr>
        <xdr:cNvPr id="9" name="Left Bracket 9"/>
        <xdr:cNvSpPr>
          <a:spLocks/>
        </xdr:cNvSpPr>
      </xdr:nvSpPr>
      <xdr:spPr>
        <a:xfrm rot="16200000">
          <a:off x="1047750" y="5172075"/>
          <a:ext cx="8001000" cy="171450"/>
        </a:xfrm>
        <a:prstGeom prst="leftBracket">
          <a:avLst>
            <a:gd name="adj" fmla="val -4881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5</xdr:col>
      <xdr:colOff>0</xdr:colOff>
      <xdr:row>8</xdr:row>
      <xdr:rowOff>152400</xdr:rowOff>
    </xdr:to>
    <xdr:sp>
      <xdr:nvSpPr>
        <xdr:cNvPr id="10" name="Rounded Rectangle 10"/>
        <xdr:cNvSpPr>
          <a:spLocks/>
        </xdr:cNvSpPr>
      </xdr:nvSpPr>
      <xdr:spPr>
        <a:xfrm>
          <a:off x="1152525" y="1362075"/>
          <a:ext cx="2057400" cy="3143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variable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28575</xdr:rowOff>
    </xdr:from>
    <xdr:to>
      <xdr:col>3</xdr:col>
      <xdr:colOff>57150</xdr:colOff>
      <xdr:row>8</xdr:row>
      <xdr:rowOff>38100</xdr:rowOff>
    </xdr:to>
    <xdr:sp>
      <xdr:nvSpPr>
        <xdr:cNvPr id="1" name="Rounded Rectangle 1"/>
        <xdr:cNvSpPr>
          <a:spLocks/>
        </xdr:cNvSpPr>
      </xdr:nvSpPr>
      <xdr:spPr>
        <a:xfrm>
          <a:off x="304800" y="1362075"/>
          <a:ext cx="742950" cy="20002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age</a:t>
          </a:r>
        </a:p>
      </xdr:txBody>
    </xdr:sp>
    <xdr:clientData/>
  </xdr:twoCellAnchor>
  <xdr:twoCellAnchor>
    <xdr:from>
      <xdr:col>3</xdr:col>
      <xdr:colOff>152400</xdr:colOff>
      <xdr:row>7</xdr:row>
      <xdr:rowOff>28575</xdr:rowOff>
    </xdr:from>
    <xdr:to>
      <xdr:col>5</xdr:col>
      <xdr:colOff>95250</xdr:colOff>
      <xdr:row>8</xdr:row>
      <xdr:rowOff>38100</xdr:rowOff>
    </xdr:to>
    <xdr:sp>
      <xdr:nvSpPr>
        <xdr:cNvPr id="2" name="Rounded Rectangle 2"/>
        <xdr:cNvSpPr>
          <a:spLocks/>
        </xdr:cNvSpPr>
      </xdr:nvSpPr>
      <xdr:spPr>
        <a:xfrm>
          <a:off x="1143000" y="1362075"/>
          <a:ext cx="742950" cy="20002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cycle</a:t>
          </a:r>
        </a:p>
      </xdr:txBody>
    </xdr:sp>
    <xdr:clientData/>
  </xdr:twoCellAnchor>
  <xdr:twoCellAnchor>
    <xdr:from>
      <xdr:col>7</xdr:col>
      <xdr:colOff>142875</xdr:colOff>
      <xdr:row>1</xdr:row>
      <xdr:rowOff>38100</xdr:rowOff>
    </xdr:from>
    <xdr:to>
      <xdr:col>14</xdr:col>
      <xdr:colOff>171450</xdr:colOff>
      <xdr:row>2</xdr:row>
      <xdr:rowOff>104775</xdr:rowOff>
    </xdr:to>
    <xdr:sp>
      <xdr:nvSpPr>
        <xdr:cNvPr id="3" name="Rounded Rectangle 3"/>
        <xdr:cNvSpPr>
          <a:spLocks/>
        </xdr:cNvSpPr>
      </xdr:nvSpPr>
      <xdr:spPr>
        <a:xfrm>
          <a:off x="2247900" y="228600"/>
          <a:ext cx="2667000" cy="25717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time dependent variables</a:t>
          </a:r>
        </a:p>
      </xdr:txBody>
    </xdr:sp>
    <xdr:clientData/>
  </xdr:twoCellAnchor>
  <xdr:twoCellAnchor>
    <xdr:from>
      <xdr:col>16</xdr:col>
      <xdr:colOff>85725</xdr:colOff>
      <xdr:row>1</xdr:row>
      <xdr:rowOff>47625</xdr:rowOff>
    </xdr:from>
    <xdr:to>
      <xdr:col>24</xdr:col>
      <xdr:colOff>85725</xdr:colOff>
      <xdr:row>2</xdr:row>
      <xdr:rowOff>114300</xdr:rowOff>
    </xdr:to>
    <xdr:sp>
      <xdr:nvSpPr>
        <xdr:cNvPr id="4" name="Rounded Rectangle 4"/>
        <xdr:cNvSpPr>
          <a:spLocks/>
        </xdr:cNvSpPr>
      </xdr:nvSpPr>
      <xdr:spPr>
        <a:xfrm>
          <a:off x="5743575" y="238125"/>
          <a:ext cx="2438400" cy="25717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health state distribution</a:t>
          </a:r>
        </a:p>
      </xdr:txBody>
    </xdr:sp>
    <xdr:clientData/>
  </xdr:twoCellAnchor>
  <xdr:twoCellAnchor>
    <xdr:from>
      <xdr:col>28</xdr:col>
      <xdr:colOff>85725</xdr:colOff>
      <xdr:row>1</xdr:row>
      <xdr:rowOff>66675</xdr:rowOff>
    </xdr:from>
    <xdr:to>
      <xdr:col>30</xdr:col>
      <xdr:colOff>533400</xdr:colOff>
      <xdr:row>2</xdr:row>
      <xdr:rowOff>133350</xdr:rowOff>
    </xdr:to>
    <xdr:sp>
      <xdr:nvSpPr>
        <xdr:cNvPr id="5" name="Rounded Rectangle 5"/>
        <xdr:cNvSpPr>
          <a:spLocks/>
        </xdr:cNvSpPr>
      </xdr:nvSpPr>
      <xdr:spPr>
        <a:xfrm>
          <a:off x="9572625" y="257175"/>
          <a:ext cx="742950" cy="25717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costs</a:t>
          </a:r>
        </a:p>
      </xdr:txBody>
    </xdr:sp>
    <xdr:clientData/>
  </xdr:twoCellAnchor>
  <xdr:twoCellAnchor>
    <xdr:from>
      <xdr:col>41</xdr:col>
      <xdr:colOff>142875</xdr:colOff>
      <xdr:row>1</xdr:row>
      <xdr:rowOff>57150</xdr:rowOff>
    </xdr:from>
    <xdr:to>
      <xdr:col>44</xdr:col>
      <xdr:colOff>0</xdr:colOff>
      <xdr:row>2</xdr:row>
      <xdr:rowOff>123825</xdr:rowOff>
    </xdr:to>
    <xdr:sp>
      <xdr:nvSpPr>
        <xdr:cNvPr id="6" name="Rounded Rectangle 6"/>
        <xdr:cNvSpPr>
          <a:spLocks/>
        </xdr:cNvSpPr>
      </xdr:nvSpPr>
      <xdr:spPr>
        <a:xfrm>
          <a:off x="14030325" y="247650"/>
          <a:ext cx="685800" cy="25717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QALY</a:t>
          </a:r>
        </a:p>
      </xdr:txBody>
    </xdr:sp>
    <xdr:clientData/>
  </xdr:twoCellAnchor>
  <xdr:twoCellAnchor>
    <xdr:from>
      <xdr:col>7</xdr:col>
      <xdr:colOff>152400</xdr:colOff>
      <xdr:row>5</xdr:row>
      <xdr:rowOff>142875</xdr:rowOff>
    </xdr:from>
    <xdr:to>
      <xdr:col>11</xdr:col>
      <xdr:colOff>85725</xdr:colOff>
      <xdr:row>6</xdr:row>
      <xdr:rowOff>142875</xdr:rowOff>
    </xdr:to>
    <xdr:sp>
      <xdr:nvSpPr>
        <xdr:cNvPr id="7" name="Rounded Rectangle 7"/>
        <xdr:cNvSpPr>
          <a:spLocks/>
        </xdr:cNvSpPr>
      </xdr:nvSpPr>
      <xdr:spPr>
        <a:xfrm>
          <a:off x="2257425" y="1095375"/>
          <a:ext cx="1447800" cy="190500"/>
        </a:xfrm>
        <a:prstGeom prst="round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mortality risk</a:t>
          </a:r>
        </a:p>
      </xdr:txBody>
    </xdr:sp>
    <xdr:clientData/>
  </xdr:twoCellAnchor>
  <xdr:twoCellAnchor>
    <xdr:from>
      <xdr:col>7</xdr:col>
      <xdr:colOff>152400</xdr:colOff>
      <xdr:row>7</xdr:row>
      <xdr:rowOff>28575</xdr:rowOff>
    </xdr:from>
    <xdr:to>
      <xdr:col>9</xdr:col>
      <xdr:colOff>47625</xdr:colOff>
      <xdr:row>8</xdr:row>
      <xdr:rowOff>38100</xdr:rowOff>
    </xdr:to>
    <xdr:sp>
      <xdr:nvSpPr>
        <xdr:cNvPr id="8" name="Rounded Rectangle 8"/>
        <xdr:cNvSpPr>
          <a:spLocks/>
        </xdr:cNvSpPr>
      </xdr:nvSpPr>
      <xdr:spPr>
        <a:xfrm>
          <a:off x="2257425" y="1362075"/>
          <a:ext cx="66675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r>
        </a:p>
      </xdr:txBody>
    </xdr:sp>
    <xdr:clientData/>
  </xdr:twoCellAnchor>
  <xdr:twoCellAnchor>
    <xdr:from>
      <xdr:col>9</xdr:col>
      <xdr:colOff>123825</xdr:colOff>
      <xdr:row>7</xdr:row>
      <xdr:rowOff>28575</xdr:rowOff>
    </xdr:from>
    <xdr:to>
      <xdr:col>11</xdr:col>
      <xdr:colOff>76200</xdr:colOff>
      <xdr:row>8</xdr:row>
      <xdr:rowOff>28575</xdr:rowOff>
    </xdr:to>
    <xdr:sp>
      <xdr:nvSpPr>
        <xdr:cNvPr id="9" name="Rounded Rectangle 9"/>
        <xdr:cNvSpPr>
          <a:spLocks/>
        </xdr:cNvSpPr>
      </xdr:nvSpPr>
      <xdr:spPr>
        <a:xfrm>
          <a:off x="3000375" y="1362075"/>
          <a:ext cx="695325" cy="190500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disease</a:t>
          </a:r>
        </a:p>
      </xdr:txBody>
    </xdr:sp>
    <xdr:clientData/>
  </xdr:twoCellAnchor>
  <xdr:twoCellAnchor>
    <xdr:from>
      <xdr:col>11</xdr:col>
      <xdr:colOff>133350</xdr:colOff>
      <xdr:row>5</xdr:row>
      <xdr:rowOff>95250</xdr:rowOff>
    </xdr:from>
    <xdr:to>
      <xdr:col>13</xdr:col>
      <xdr:colOff>123825</xdr:colOff>
      <xdr:row>8</xdr:row>
      <xdr:rowOff>28575</xdr:rowOff>
    </xdr:to>
    <xdr:sp>
      <xdr:nvSpPr>
        <xdr:cNvPr id="10" name="Rounded Rectangle 10"/>
        <xdr:cNvSpPr>
          <a:spLocks/>
        </xdr:cNvSpPr>
      </xdr:nvSpPr>
      <xdr:spPr>
        <a:xfrm>
          <a:off x="3752850" y="1047750"/>
          <a:ext cx="895350" cy="5048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probability of disease</a:t>
          </a:r>
        </a:p>
      </xdr:txBody>
    </xdr:sp>
    <xdr:clientData/>
  </xdr:twoCellAnchor>
  <xdr:twoCellAnchor>
    <xdr:from>
      <xdr:col>13</xdr:col>
      <xdr:colOff>180975</xdr:colOff>
      <xdr:row>5</xdr:row>
      <xdr:rowOff>114300</xdr:rowOff>
    </xdr:from>
    <xdr:to>
      <xdr:col>15</xdr:col>
      <xdr:colOff>104775</xdr:colOff>
      <xdr:row>8</xdr:row>
      <xdr:rowOff>28575</xdr:rowOff>
    </xdr:to>
    <xdr:sp>
      <xdr:nvSpPr>
        <xdr:cNvPr id="11" name="Rounded Rectangle 11"/>
        <xdr:cNvSpPr>
          <a:spLocks/>
        </xdr:cNvSpPr>
      </xdr:nvSpPr>
      <xdr:spPr>
        <a:xfrm>
          <a:off x="4705350" y="1066800"/>
          <a:ext cx="876300" cy="48577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probability of hosp.</a:t>
          </a:r>
        </a:p>
      </xdr:txBody>
    </xdr:sp>
    <xdr:clientData/>
  </xdr:twoCellAnchor>
  <xdr:twoCellAnchor>
    <xdr:from>
      <xdr:col>17</xdr:col>
      <xdr:colOff>142875</xdr:colOff>
      <xdr:row>7</xdr:row>
      <xdr:rowOff>28575</xdr:rowOff>
    </xdr:from>
    <xdr:to>
      <xdr:col>19</xdr:col>
      <xdr:colOff>85725</xdr:colOff>
      <xdr:row>8</xdr:row>
      <xdr:rowOff>38100</xdr:rowOff>
    </xdr:to>
    <xdr:sp>
      <xdr:nvSpPr>
        <xdr:cNvPr id="12" name="Rounded Rectangle 12"/>
        <xdr:cNvSpPr>
          <a:spLocks/>
        </xdr:cNvSpPr>
      </xdr:nvSpPr>
      <xdr:spPr>
        <a:xfrm>
          <a:off x="5905500" y="1362075"/>
          <a:ext cx="6572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r>
        </a:p>
      </xdr:txBody>
    </xdr:sp>
    <xdr:clientData/>
  </xdr:twoCellAnchor>
  <xdr:twoCellAnchor>
    <xdr:from>
      <xdr:col>19</xdr:col>
      <xdr:colOff>114300</xdr:colOff>
      <xdr:row>7</xdr:row>
      <xdr:rowOff>28575</xdr:rowOff>
    </xdr:from>
    <xdr:to>
      <xdr:col>21</xdr:col>
      <xdr:colOff>95250</xdr:colOff>
      <xdr:row>8</xdr:row>
      <xdr:rowOff>38100</xdr:rowOff>
    </xdr:to>
    <xdr:sp>
      <xdr:nvSpPr>
        <xdr:cNvPr id="13" name="Rounded Rectangle 13"/>
        <xdr:cNvSpPr>
          <a:spLocks/>
        </xdr:cNvSpPr>
      </xdr:nvSpPr>
      <xdr:spPr>
        <a:xfrm>
          <a:off x="6591300" y="1362075"/>
          <a:ext cx="68580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disease</a:t>
          </a:r>
        </a:p>
      </xdr:txBody>
    </xdr:sp>
    <xdr:clientData/>
  </xdr:twoCellAnchor>
  <xdr:twoCellAnchor>
    <xdr:from>
      <xdr:col>21</xdr:col>
      <xdr:colOff>142875</xdr:colOff>
      <xdr:row>7</xdr:row>
      <xdr:rowOff>28575</xdr:rowOff>
    </xdr:from>
    <xdr:to>
      <xdr:col>23</xdr:col>
      <xdr:colOff>95250</xdr:colOff>
      <xdr:row>8</xdr:row>
      <xdr:rowOff>38100</xdr:rowOff>
    </xdr:to>
    <xdr:sp>
      <xdr:nvSpPr>
        <xdr:cNvPr id="14" name="Rounded Rectangle 14"/>
        <xdr:cNvSpPr>
          <a:spLocks/>
        </xdr:cNvSpPr>
      </xdr:nvSpPr>
      <xdr:spPr>
        <a:xfrm>
          <a:off x="7324725" y="1362075"/>
          <a:ext cx="63817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</a:t>
          </a:r>
        </a:p>
      </xdr:txBody>
    </xdr:sp>
    <xdr:clientData/>
  </xdr:twoCellAnchor>
  <xdr:twoCellAnchor>
    <xdr:from>
      <xdr:col>23</xdr:col>
      <xdr:colOff>142875</xdr:colOff>
      <xdr:row>7</xdr:row>
      <xdr:rowOff>28575</xdr:rowOff>
    </xdr:from>
    <xdr:to>
      <xdr:col>25</xdr:col>
      <xdr:colOff>104775</xdr:colOff>
      <xdr:row>8</xdr:row>
      <xdr:rowOff>38100</xdr:rowOff>
    </xdr:to>
    <xdr:sp>
      <xdr:nvSpPr>
        <xdr:cNvPr id="15" name="Rounded Rectangle 15"/>
        <xdr:cNvSpPr>
          <a:spLocks/>
        </xdr:cNvSpPr>
      </xdr:nvSpPr>
      <xdr:spPr>
        <a:xfrm>
          <a:off x="8010525" y="1362075"/>
          <a:ext cx="60960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dead</a:t>
          </a:r>
        </a:p>
      </xdr:txBody>
    </xdr:sp>
    <xdr:clientData/>
  </xdr:twoCellAnchor>
  <xdr:twoCellAnchor>
    <xdr:from>
      <xdr:col>25</xdr:col>
      <xdr:colOff>171450</xdr:colOff>
      <xdr:row>7</xdr:row>
      <xdr:rowOff>28575</xdr:rowOff>
    </xdr:from>
    <xdr:to>
      <xdr:col>27</xdr:col>
      <xdr:colOff>76200</xdr:colOff>
      <xdr:row>8</xdr:row>
      <xdr:rowOff>38100</xdr:rowOff>
    </xdr:to>
    <xdr:sp>
      <xdr:nvSpPr>
        <xdr:cNvPr id="16" name="Rounded Rectangle 16"/>
        <xdr:cNvSpPr>
          <a:spLocks/>
        </xdr:cNvSpPr>
      </xdr:nvSpPr>
      <xdr:spPr>
        <a:xfrm>
          <a:off x="8686800" y="1362075"/>
          <a:ext cx="685800" cy="200025"/>
        </a:xfrm>
        <a:prstGeom prst="round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check</a:t>
          </a:r>
        </a:p>
      </xdr:txBody>
    </xdr:sp>
    <xdr:clientData/>
  </xdr:twoCellAnchor>
  <xdr:twoCellAnchor>
    <xdr:from>
      <xdr:col>29</xdr:col>
      <xdr:colOff>152400</xdr:colOff>
      <xdr:row>4</xdr:row>
      <xdr:rowOff>66675</xdr:rowOff>
    </xdr:from>
    <xdr:to>
      <xdr:col>33</xdr:col>
      <xdr:colOff>85725</xdr:colOff>
      <xdr:row>5</xdr:row>
      <xdr:rowOff>76200</xdr:rowOff>
    </xdr:to>
    <xdr:sp>
      <xdr:nvSpPr>
        <xdr:cNvPr id="17" name="Rounded Rectangle 17"/>
        <xdr:cNvSpPr>
          <a:spLocks/>
        </xdr:cNvSpPr>
      </xdr:nvSpPr>
      <xdr:spPr>
        <a:xfrm>
          <a:off x="9763125" y="828675"/>
          <a:ext cx="1428750" cy="200025"/>
        </a:xfrm>
        <a:prstGeom prst="round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 costs</a:t>
          </a:r>
        </a:p>
      </xdr:txBody>
    </xdr:sp>
    <xdr:clientData/>
  </xdr:twoCellAnchor>
  <xdr:twoCellAnchor>
    <xdr:from>
      <xdr:col>33</xdr:col>
      <xdr:colOff>123825</xdr:colOff>
      <xdr:row>4</xdr:row>
      <xdr:rowOff>66675</xdr:rowOff>
    </xdr:from>
    <xdr:to>
      <xdr:col>37</xdr:col>
      <xdr:colOff>104775</xdr:colOff>
      <xdr:row>5</xdr:row>
      <xdr:rowOff>76200</xdr:rowOff>
    </xdr:to>
    <xdr:sp>
      <xdr:nvSpPr>
        <xdr:cNvPr id="18" name="Rounded Rectangle 18"/>
        <xdr:cNvSpPr>
          <a:spLocks/>
        </xdr:cNvSpPr>
      </xdr:nvSpPr>
      <xdr:spPr>
        <a:xfrm>
          <a:off x="11229975" y="828675"/>
          <a:ext cx="1600200" cy="200025"/>
        </a:xfrm>
        <a:prstGeom prst="round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indirect costs</a:t>
          </a:r>
        </a:p>
      </xdr:txBody>
    </xdr:sp>
    <xdr:clientData/>
  </xdr:twoCellAnchor>
  <xdr:twoCellAnchor>
    <xdr:from>
      <xdr:col>29</xdr:col>
      <xdr:colOff>142875</xdr:colOff>
      <xdr:row>5</xdr:row>
      <xdr:rowOff>123825</xdr:rowOff>
    </xdr:from>
    <xdr:to>
      <xdr:col>31</xdr:col>
      <xdr:colOff>85725</xdr:colOff>
      <xdr:row>6</xdr:row>
      <xdr:rowOff>133350</xdr:rowOff>
    </xdr:to>
    <xdr:sp>
      <xdr:nvSpPr>
        <xdr:cNvPr id="19" name="Rounded Rectangle 19"/>
        <xdr:cNvSpPr>
          <a:spLocks/>
        </xdr:cNvSpPr>
      </xdr:nvSpPr>
      <xdr:spPr>
        <a:xfrm>
          <a:off x="9753600" y="1076325"/>
          <a:ext cx="67627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drug</a:t>
          </a:r>
        </a:p>
      </xdr:txBody>
    </xdr:sp>
    <xdr:clientData/>
  </xdr:twoCellAnchor>
  <xdr:twoCellAnchor>
    <xdr:from>
      <xdr:col>31</xdr:col>
      <xdr:colOff>123825</xdr:colOff>
      <xdr:row>5</xdr:row>
      <xdr:rowOff>123825</xdr:rowOff>
    </xdr:from>
    <xdr:to>
      <xdr:col>33</xdr:col>
      <xdr:colOff>95250</xdr:colOff>
      <xdr:row>6</xdr:row>
      <xdr:rowOff>133350</xdr:rowOff>
    </xdr:to>
    <xdr:sp>
      <xdr:nvSpPr>
        <xdr:cNvPr id="20" name="Rounded Rectangle 20"/>
        <xdr:cNvSpPr>
          <a:spLocks/>
        </xdr:cNvSpPr>
      </xdr:nvSpPr>
      <xdr:spPr>
        <a:xfrm>
          <a:off x="10467975" y="1076325"/>
          <a:ext cx="7334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</a:t>
          </a:r>
        </a:p>
      </xdr:txBody>
    </xdr:sp>
    <xdr:clientData/>
  </xdr:twoCellAnchor>
  <xdr:twoCellAnchor>
    <xdr:from>
      <xdr:col>33</xdr:col>
      <xdr:colOff>142875</xdr:colOff>
      <xdr:row>5</xdr:row>
      <xdr:rowOff>123825</xdr:rowOff>
    </xdr:from>
    <xdr:to>
      <xdr:col>35</xdr:col>
      <xdr:colOff>76200</xdr:colOff>
      <xdr:row>6</xdr:row>
      <xdr:rowOff>133350</xdr:rowOff>
    </xdr:to>
    <xdr:sp>
      <xdr:nvSpPr>
        <xdr:cNvPr id="21" name="Rounded Rectangle 21"/>
        <xdr:cNvSpPr>
          <a:spLocks/>
        </xdr:cNvSpPr>
      </xdr:nvSpPr>
      <xdr:spPr>
        <a:xfrm>
          <a:off x="11249025" y="1076325"/>
          <a:ext cx="7334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</a:t>
          </a:r>
        </a:p>
      </xdr:txBody>
    </xdr:sp>
    <xdr:clientData/>
  </xdr:twoCellAnchor>
  <xdr:twoCellAnchor>
    <xdr:from>
      <xdr:col>35</xdr:col>
      <xdr:colOff>133350</xdr:colOff>
      <xdr:row>5</xdr:row>
      <xdr:rowOff>123825</xdr:rowOff>
    </xdr:from>
    <xdr:to>
      <xdr:col>37</xdr:col>
      <xdr:colOff>114300</xdr:colOff>
      <xdr:row>6</xdr:row>
      <xdr:rowOff>133350</xdr:rowOff>
    </xdr:to>
    <xdr:sp>
      <xdr:nvSpPr>
        <xdr:cNvPr id="22" name="Rounded Rectangle 22"/>
        <xdr:cNvSpPr>
          <a:spLocks/>
        </xdr:cNvSpPr>
      </xdr:nvSpPr>
      <xdr:spPr>
        <a:xfrm>
          <a:off x="12039600" y="1076325"/>
          <a:ext cx="80010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death</a:t>
          </a:r>
        </a:p>
      </xdr:txBody>
    </xdr:sp>
    <xdr:clientData/>
  </xdr:twoCellAnchor>
  <xdr:twoCellAnchor>
    <xdr:from>
      <xdr:col>37</xdr:col>
      <xdr:colOff>161925</xdr:colOff>
      <xdr:row>5</xdr:row>
      <xdr:rowOff>57150</xdr:rowOff>
    </xdr:from>
    <xdr:to>
      <xdr:col>41</xdr:col>
      <xdr:colOff>0</xdr:colOff>
      <xdr:row>6</xdr:row>
      <xdr:rowOff>142875</xdr:rowOff>
    </xdr:to>
    <xdr:sp>
      <xdr:nvSpPr>
        <xdr:cNvPr id="23" name="Rounded Rectangle 23"/>
        <xdr:cNvSpPr>
          <a:spLocks/>
        </xdr:cNvSpPr>
      </xdr:nvSpPr>
      <xdr:spPr>
        <a:xfrm>
          <a:off x="12887325" y="1009650"/>
          <a:ext cx="1000125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total costs</a:t>
          </a:r>
        </a:p>
      </xdr:txBody>
    </xdr:sp>
    <xdr:clientData/>
  </xdr:twoCellAnchor>
  <xdr:twoCellAnchor>
    <xdr:from>
      <xdr:col>42</xdr:col>
      <xdr:colOff>133350</xdr:colOff>
      <xdr:row>5</xdr:row>
      <xdr:rowOff>114300</xdr:rowOff>
    </xdr:from>
    <xdr:to>
      <xdr:col>44</xdr:col>
      <xdr:colOff>114300</xdr:colOff>
      <xdr:row>6</xdr:row>
      <xdr:rowOff>133350</xdr:rowOff>
    </xdr:to>
    <xdr:sp>
      <xdr:nvSpPr>
        <xdr:cNvPr id="24" name="Rounded Rectangle 24"/>
        <xdr:cNvSpPr>
          <a:spLocks/>
        </xdr:cNvSpPr>
      </xdr:nvSpPr>
      <xdr:spPr>
        <a:xfrm>
          <a:off x="14173200" y="1066800"/>
          <a:ext cx="657225" cy="209550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r>
        </a:p>
      </xdr:txBody>
    </xdr:sp>
    <xdr:clientData/>
  </xdr:twoCellAnchor>
  <xdr:twoCellAnchor>
    <xdr:from>
      <xdr:col>44</xdr:col>
      <xdr:colOff>161925</xdr:colOff>
      <xdr:row>5</xdr:row>
      <xdr:rowOff>114300</xdr:rowOff>
    </xdr:from>
    <xdr:to>
      <xdr:col>46</xdr:col>
      <xdr:colOff>38100</xdr:colOff>
      <xdr:row>6</xdr:row>
      <xdr:rowOff>123825</xdr:rowOff>
    </xdr:to>
    <xdr:sp>
      <xdr:nvSpPr>
        <xdr:cNvPr id="25" name="Rounded Rectangle 25"/>
        <xdr:cNvSpPr>
          <a:spLocks/>
        </xdr:cNvSpPr>
      </xdr:nvSpPr>
      <xdr:spPr>
        <a:xfrm>
          <a:off x="14878050" y="1066800"/>
          <a:ext cx="67627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disease</a:t>
          </a:r>
        </a:p>
      </xdr:txBody>
    </xdr:sp>
    <xdr:clientData/>
  </xdr:twoCellAnchor>
  <xdr:twoCellAnchor>
    <xdr:from>
      <xdr:col>46</xdr:col>
      <xdr:colOff>104775</xdr:colOff>
      <xdr:row>5</xdr:row>
      <xdr:rowOff>114300</xdr:rowOff>
    </xdr:from>
    <xdr:to>
      <xdr:col>48</xdr:col>
      <xdr:colOff>85725</xdr:colOff>
      <xdr:row>6</xdr:row>
      <xdr:rowOff>123825</xdr:rowOff>
    </xdr:to>
    <xdr:sp>
      <xdr:nvSpPr>
        <xdr:cNvPr id="26" name="Rounded Rectangle 26"/>
        <xdr:cNvSpPr>
          <a:spLocks/>
        </xdr:cNvSpPr>
      </xdr:nvSpPr>
      <xdr:spPr>
        <a:xfrm>
          <a:off x="15621000" y="1066800"/>
          <a:ext cx="59055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</a:t>
          </a:r>
        </a:p>
      </xdr:txBody>
    </xdr:sp>
    <xdr:clientData/>
  </xdr:twoCellAnchor>
  <xdr:twoCellAnchor>
    <xdr:from>
      <xdr:col>48</xdr:col>
      <xdr:colOff>152400</xdr:colOff>
      <xdr:row>5</xdr:row>
      <xdr:rowOff>57150</xdr:rowOff>
    </xdr:from>
    <xdr:to>
      <xdr:col>52</xdr:col>
      <xdr:colOff>0</xdr:colOff>
      <xdr:row>6</xdr:row>
      <xdr:rowOff>123825</xdr:rowOff>
    </xdr:to>
    <xdr:sp>
      <xdr:nvSpPr>
        <xdr:cNvPr id="27" name="Rounded Rectangle 27"/>
        <xdr:cNvSpPr>
          <a:spLocks/>
        </xdr:cNvSpPr>
      </xdr:nvSpPr>
      <xdr:spPr>
        <a:xfrm>
          <a:off x="16278225" y="1009650"/>
          <a:ext cx="1000125" cy="2571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total QALYs</a:t>
          </a:r>
        </a:p>
      </xdr:txBody>
    </xdr:sp>
    <xdr:clientData/>
  </xdr:twoCellAnchor>
  <xdr:twoCellAnchor>
    <xdr:from>
      <xdr:col>0</xdr:col>
      <xdr:colOff>190500</xdr:colOff>
      <xdr:row>6</xdr:row>
      <xdr:rowOff>171450</xdr:rowOff>
    </xdr:from>
    <xdr:to>
      <xdr:col>5</xdr:col>
      <xdr:colOff>200025</xdr:colOff>
      <xdr:row>8</xdr:row>
      <xdr:rowOff>9525</xdr:rowOff>
    </xdr:to>
    <xdr:sp>
      <xdr:nvSpPr>
        <xdr:cNvPr id="28" name="Left Bracket 28"/>
        <xdr:cNvSpPr>
          <a:spLocks/>
        </xdr:cNvSpPr>
      </xdr:nvSpPr>
      <xdr:spPr>
        <a:xfrm rot="5400000">
          <a:off x="190500" y="1314450"/>
          <a:ext cx="1800225" cy="219075"/>
        </a:xfrm>
        <a:prstGeom prst="leftBracket">
          <a:avLst>
            <a:gd name="adj" fmla="val -4338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6</xdr:col>
      <xdr:colOff>0</xdr:colOff>
      <xdr:row>82</xdr:row>
      <xdr:rowOff>180975</xdr:rowOff>
    </xdr:to>
    <xdr:sp>
      <xdr:nvSpPr>
        <xdr:cNvPr id="29" name="Left Bracket 29"/>
        <xdr:cNvSpPr>
          <a:spLocks/>
        </xdr:cNvSpPr>
      </xdr:nvSpPr>
      <xdr:spPr>
        <a:xfrm rot="16200000">
          <a:off x="190500" y="15516225"/>
          <a:ext cx="1800225" cy="180975"/>
        </a:xfrm>
        <a:prstGeom prst="leftBracket">
          <a:avLst>
            <a:gd name="adj" fmla="val -4453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16</xdr:col>
      <xdr:colOff>0</xdr:colOff>
      <xdr:row>6</xdr:row>
      <xdr:rowOff>47625</xdr:rowOff>
    </xdr:to>
    <xdr:sp>
      <xdr:nvSpPr>
        <xdr:cNvPr id="30" name="Left Bracket 30"/>
        <xdr:cNvSpPr>
          <a:spLocks/>
        </xdr:cNvSpPr>
      </xdr:nvSpPr>
      <xdr:spPr>
        <a:xfrm rot="5400000">
          <a:off x="2105025" y="962025"/>
          <a:ext cx="3552825" cy="228600"/>
        </a:xfrm>
        <a:prstGeom prst="leftBracket">
          <a:avLst>
            <a:gd name="adj" fmla="val -4650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27</xdr:col>
      <xdr:colOff>190500</xdr:colOff>
      <xdr:row>6</xdr:row>
      <xdr:rowOff>28575</xdr:rowOff>
    </xdr:to>
    <xdr:sp>
      <xdr:nvSpPr>
        <xdr:cNvPr id="31" name="Left Bracket 31"/>
        <xdr:cNvSpPr>
          <a:spLocks/>
        </xdr:cNvSpPr>
      </xdr:nvSpPr>
      <xdr:spPr>
        <a:xfrm rot="5400000">
          <a:off x="5762625" y="971550"/>
          <a:ext cx="3724275" cy="200025"/>
        </a:xfrm>
        <a:prstGeom prst="leftBracket">
          <a:avLst>
            <a:gd name="adj" fmla="val -4708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81</xdr:row>
      <xdr:rowOff>180975</xdr:rowOff>
    </xdr:from>
    <xdr:to>
      <xdr:col>27</xdr:col>
      <xdr:colOff>190500</xdr:colOff>
      <xdr:row>82</xdr:row>
      <xdr:rowOff>171450</xdr:rowOff>
    </xdr:to>
    <xdr:sp>
      <xdr:nvSpPr>
        <xdr:cNvPr id="32" name="Left Bracket 32"/>
        <xdr:cNvSpPr>
          <a:spLocks/>
        </xdr:cNvSpPr>
      </xdr:nvSpPr>
      <xdr:spPr>
        <a:xfrm rot="16200000">
          <a:off x="5762625" y="15506700"/>
          <a:ext cx="3724275" cy="180975"/>
        </a:xfrm>
        <a:prstGeom prst="leftBracket">
          <a:avLst>
            <a:gd name="adj" fmla="val -4736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9525</xdr:rowOff>
    </xdr:from>
    <xdr:to>
      <xdr:col>16</xdr:col>
      <xdr:colOff>0</xdr:colOff>
      <xdr:row>82</xdr:row>
      <xdr:rowOff>171450</xdr:rowOff>
    </xdr:to>
    <xdr:sp>
      <xdr:nvSpPr>
        <xdr:cNvPr id="33" name="Left Bracket 33"/>
        <xdr:cNvSpPr>
          <a:spLocks/>
        </xdr:cNvSpPr>
      </xdr:nvSpPr>
      <xdr:spPr>
        <a:xfrm rot="16200000">
          <a:off x="2105025" y="15525750"/>
          <a:ext cx="3552825" cy="161925"/>
        </a:xfrm>
        <a:prstGeom prst="leftBracket">
          <a:avLst>
            <a:gd name="adj" fmla="val -4752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123825</xdr:colOff>
      <xdr:row>4</xdr:row>
      <xdr:rowOff>28575</xdr:rowOff>
    </xdr:from>
    <xdr:to>
      <xdr:col>38</xdr:col>
      <xdr:colOff>0</xdr:colOff>
      <xdr:row>5</xdr:row>
      <xdr:rowOff>9525</xdr:rowOff>
    </xdr:to>
    <xdr:sp>
      <xdr:nvSpPr>
        <xdr:cNvPr id="34" name="Left Bracket 34"/>
        <xdr:cNvSpPr>
          <a:spLocks/>
        </xdr:cNvSpPr>
      </xdr:nvSpPr>
      <xdr:spPr>
        <a:xfrm rot="5400000">
          <a:off x="9610725" y="790575"/>
          <a:ext cx="3286125" cy="171450"/>
        </a:xfrm>
        <a:prstGeom prst="leftBracket">
          <a:avLst>
            <a:gd name="adj" fmla="val -4717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171450</xdr:colOff>
      <xdr:row>5</xdr:row>
      <xdr:rowOff>66675</xdr:rowOff>
    </xdr:from>
    <xdr:to>
      <xdr:col>41</xdr:col>
      <xdr:colOff>0</xdr:colOff>
      <xdr:row>6</xdr:row>
      <xdr:rowOff>57150</xdr:rowOff>
    </xdr:to>
    <xdr:sp>
      <xdr:nvSpPr>
        <xdr:cNvPr id="35" name="Left Bracket 35"/>
        <xdr:cNvSpPr>
          <a:spLocks/>
        </xdr:cNvSpPr>
      </xdr:nvSpPr>
      <xdr:spPr>
        <a:xfrm rot="5400000">
          <a:off x="12896850" y="1019175"/>
          <a:ext cx="990600" cy="180975"/>
        </a:xfrm>
        <a:prstGeom prst="leftBracket">
          <a:avLst>
            <a:gd name="adj" fmla="val -3951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81</xdr:row>
      <xdr:rowOff>180975</xdr:rowOff>
    </xdr:from>
    <xdr:to>
      <xdr:col>38</xdr:col>
      <xdr:colOff>0</xdr:colOff>
      <xdr:row>82</xdr:row>
      <xdr:rowOff>180975</xdr:rowOff>
    </xdr:to>
    <xdr:sp>
      <xdr:nvSpPr>
        <xdr:cNvPr id="36" name="Left Bracket 36"/>
        <xdr:cNvSpPr>
          <a:spLocks/>
        </xdr:cNvSpPr>
      </xdr:nvSpPr>
      <xdr:spPr>
        <a:xfrm rot="16200000">
          <a:off x="9610725" y="15506700"/>
          <a:ext cx="3286125" cy="190500"/>
        </a:xfrm>
        <a:prstGeom prst="leftBracket">
          <a:avLst>
            <a:gd name="adj" fmla="val -4685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171450</xdr:colOff>
      <xdr:row>81</xdr:row>
      <xdr:rowOff>190500</xdr:rowOff>
    </xdr:from>
    <xdr:to>
      <xdr:col>41</xdr:col>
      <xdr:colOff>0</xdr:colOff>
      <xdr:row>82</xdr:row>
      <xdr:rowOff>190500</xdr:rowOff>
    </xdr:to>
    <xdr:sp>
      <xdr:nvSpPr>
        <xdr:cNvPr id="37" name="Left Bracket 37"/>
        <xdr:cNvSpPr>
          <a:spLocks/>
        </xdr:cNvSpPr>
      </xdr:nvSpPr>
      <xdr:spPr>
        <a:xfrm rot="16200000">
          <a:off x="12896850" y="15516225"/>
          <a:ext cx="990600" cy="190500"/>
        </a:xfrm>
        <a:prstGeom prst="leftBracket">
          <a:avLst>
            <a:gd name="adj" fmla="val -3958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152400</xdr:colOff>
      <xdr:row>81</xdr:row>
      <xdr:rowOff>161925</xdr:rowOff>
    </xdr:from>
    <xdr:to>
      <xdr:col>49</xdr:col>
      <xdr:colOff>0</xdr:colOff>
      <xdr:row>82</xdr:row>
      <xdr:rowOff>171450</xdr:rowOff>
    </xdr:to>
    <xdr:sp>
      <xdr:nvSpPr>
        <xdr:cNvPr id="38" name="Left Bracket 38"/>
        <xdr:cNvSpPr>
          <a:spLocks/>
        </xdr:cNvSpPr>
      </xdr:nvSpPr>
      <xdr:spPr>
        <a:xfrm rot="16200000">
          <a:off x="14039850" y="15487650"/>
          <a:ext cx="2247900" cy="200025"/>
        </a:xfrm>
        <a:prstGeom prst="leftBracket">
          <a:avLst>
            <a:gd name="adj" fmla="val -4517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152400</xdr:colOff>
      <xdr:row>5</xdr:row>
      <xdr:rowOff>57150</xdr:rowOff>
    </xdr:from>
    <xdr:to>
      <xdr:col>49</xdr:col>
      <xdr:colOff>0</xdr:colOff>
      <xdr:row>6</xdr:row>
      <xdr:rowOff>47625</xdr:rowOff>
    </xdr:to>
    <xdr:sp>
      <xdr:nvSpPr>
        <xdr:cNvPr id="39" name="Left Bracket 40"/>
        <xdr:cNvSpPr>
          <a:spLocks/>
        </xdr:cNvSpPr>
      </xdr:nvSpPr>
      <xdr:spPr>
        <a:xfrm rot="5400000">
          <a:off x="14039850" y="1009650"/>
          <a:ext cx="2247900" cy="180975"/>
        </a:xfrm>
        <a:prstGeom prst="leftBracket">
          <a:avLst>
            <a:gd name="adj" fmla="val -45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9525</xdr:colOff>
      <xdr:row>5</xdr:row>
      <xdr:rowOff>66675</xdr:rowOff>
    </xdr:from>
    <xdr:to>
      <xdr:col>51</xdr:col>
      <xdr:colOff>161925</xdr:colOff>
      <xdr:row>6</xdr:row>
      <xdr:rowOff>9525</xdr:rowOff>
    </xdr:to>
    <xdr:sp>
      <xdr:nvSpPr>
        <xdr:cNvPr id="40" name="Left Bracket 41"/>
        <xdr:cNvSpPr>
          <a:spLocks/>
        </xdr:cNvSpPr>
      </xdr:nvSpPr>
      <xdr:spPr>
        <a:xfrm rot="5400000">
          <a:off x="16297275" y="1019175"/>
          <a:ext cx="981075" cy="133350"/>
        </a:xfrm>
        <a:prstGeom prst="leftBracket">
          <a:avLst>
            <a:gd name="adj" fmla="val -4263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161925</xdr:colOff>
      <xdr:row>81</xdr:row>
      <xdr:rowOff>161925</xdr:rowOff>
    </xdr:from>
    <xdr:to>
      <xdr:col>52</xdr:col>
      <xdr:colOff>0</xdr:colOff>
      <xdr:row>82</xdr:row>
      <xdr:rowOff>171450</xdr:rowOff>
    </xdr:to>
    <xdr:sp>
      <xdr:nvSpPr>
        <xdr:cNvPr id="41" name="Left Bracket 42"/>
        <xdr:cNvSpPr>
          <a:spLocks/>
        </xdr:cNvSpPr>
      </xdr:nvSpPr>
      <xdr:spPr>
        <a:xfrm rot="16200000">
          <a:off x="16287750" y="15487650"/>
          <a:ext cx="990600" cy="200025"/>
        </a:xfrm>
        <a:prstGeom prst="leftBracket">
          <a:avLst>
            <a:gd name="adj" fmla="val -3906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28575</xdr:rowOff>
    </xdr:from>
    <xdr:to>
      <xdr:col>3</xdr:col>
      <xdr:colOff>57150</xdr:colOff>
      <xdr:row>8</xdr:row>
      <xdr:rowOff>38100</xdr:rowOff>
    </xdr:to>
    <xdr:sp>
      <xdr:nvSpPr>
        <xdr:cNvPr id="1" name="Rounded Rectangle 1"/>
        <xdr:cNvSpPr>
          <a:spLocks/>
        </xdr:cNvSpPr>
      </xdr:nvSpPr>
      <xdr:spPr>
        <a:xfrm>
          <a:off x="304800" y="1362075"/>
          <a:ext cx="742950" cy="20002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age</a:t>
          </a:r>
        </a:p>
      </xdr:txBody>
    </xdr:sp>
    <xdr:clientData/>
  </xdr:twoCellAnchor>
  <xdr:twoCellAnchor>
    <xdr:from>
      <xdr:col>3</xdr:col>
      <xdr:colOff>152400</xdr:colOff>
      <xdr:row>7</xdr:row>
      <xdr:rowOff>28575</xdr:rowOff>
    </xdr:from>
    <xdr:to>
      <xdr:col>5</xdr:col>
      <xdr:colOff>95250</xdr:colOff>
      <xdr:row>8</xdr:row>
      <xdr:rowOff>38100</xdr:rowOff>
    </xdr:to>
    <xdr:sp>
      <xdr:nvSpPr>
        <xdr:cNvPr id="2" name="Rounded Rectangle 2"/>
        <xdr:cNvSpPr>
          <a:spLocks/>
        </xdr:cNvSpPr>
      </xdr:nvSpPr>
      <xdr:spPr>
        <a:xfrm>
          <a:off x="1143000" y="1362075"/>
          <a:ext cx="742950" cy="20002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cycle</a:t>
          </a:r>
        </a:p>
      </xdr:txBody>
    </xdr:sp>
    <xdr:clientData/>
  </xdr:twoCellAnchor>
  <xdr:twoCellAnchor>
    <xdr:from>
      <xdr:col>7</xdr:col>
      <xdr:colOff>142875</xdr:colOff>
      <xdr:row>1</xdr:row>
      <xdr:rowOff>38100</xdr:rowOff>
    </xdr:from>
    <xdr:to>
      <xdr:col>14</xdr:col>
      <xdr:colOff>171450</xdr:colOff>
      <xdr:row>2</xdr:row>
      <xdr:rowOff>104775</xdr:rowOff>
    </xdr:to>
    <xdr:sp>
      <xdr:nvSpPr>
        <xdr:cNvPr id="3" name="Rounded Rectangle 3"/>
        <xdr:cNvSpPr>
          <a:spLocks/>
        </xdr:cNvSpPr>
      </xdr:nvSpPr>
      <xdr:spPr>
        <a:xfrm>
          <a:off x="2247900" y="228600"/>
          <a:ext cx="2667000" cy="25717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time dependent variables</a:t>
          </a:r>
        </a:p>
      </xdr:txBody>
    </xdr:sp>
    <xdr:clientData/>
  </xdr:twoCellAnchor>
  <xdr:twoCellAnchor>
    <xdr:from>
      <xdr:col>16</xdr:col>
      <xdr:colOff>85725</xdr:colOff>
      <xdr:row>1</xdr:row>
      <xdr:rowOff>47625</xdr:rowOff>
    </xdr:from>
    <xdr:to>
      <xdr:col>24</xdr:col>
      <xdr:colOff>85725</xdr:colOff>
      <xdr:row>2</xdr:row>
      <xdr:rowOff>114300</xdr:rowOff>
    </xdr:to>
    <xdr:sp>
      <xdr:nvSpPr>
        <xdr:cNvPr id="4" name="Rounded Rectangle 4"/>
        <xdr:cNvSpPr>
          <a:spLocks/>
        </xdr:cNvSpPr>
      </xdr:nvSpPr>
      <xdr:spPr>
        <a:xfrm>
          <a:off x="5743575" y="238125"/>
          <a:ext cx="2438400" cy="25717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health state distribution</a:t>
          </a:r>
        </a:p>
      </xdr:txBody>
    </xdr:sp>
    <xdr:clientData/>
  </xdr:twoCellAnchor>
  <xdr:twoCellAnchor>
    <xdr:from>
      <xdr:col>28</xdr:col>
      <xdr:colOff>85725</xdr:colOff>
      <xdr:row>1</xdr:row>
      <xdr:rowOff>66675</xdr:rowOff>
    </xdr:from>
    <xdr:to>
      <xdr:col>30</xdr:col>
      <xdr:colOff>533400</xdr:colOff>
      <xdr:row>2</xdr:row>
      <xdr:rowOff>133350</xdr:rowOff>
    </xdr:to>
    <xdr:sp>
      <xdr:nvSpPr>
        <xdr:cNvPr id="5" name="Rounded Rectangle 5"/>
        <xdr:cNvSpPr>
          <a:spLocks/>
        </xdr:cNvSpPr>
      </xdr:nvSpPr>
      <xdr:spPr>
        <a:xfrm>
          <a:off x="9572625" y="257175"/>
          <a:ext cx="742950" cy="25717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costs</a:t>
          </a:r>
        </a:p>
      </xdr:txBody>
    </xdr:sp>
    <xdr:clientData/>
  </xdr:twoCellAnchor>
  <xdr:twoCellAnchor>
    <xdr:from>
      <xdr:col>41</xdr:col>
      <xdr:colOff>142875</xdr:colOff>
      <xdr:row>1</xdr:row>
      <xdr:rowOff>57150</xdr:rowOff>
    </xdr:from>
    <xdr:to>
      <xdr:col>44</xdr:col>
      <xdr:colOff>0</xdr:colOff>
      <xdr:row>2</xdr:row>
      <xdr:rowOff>123825</xdr:rowOff>
    </xdr:to>
    <xdr:sp>
      <xdr:nvSpPr>
        <xdr:cNvPr id="6" name="Rounded Rectangle 6"/>
        <xdr:cNvSpPr>
          <a:spLocks/>
        </xdr:cNvSpPr>
      </xdr:nvSpPr>
      <xdr:spPr>
        <a:xfrm>
          <a:off x="14030325" y="247650"/>
          <a:ext cx="685800" cy="257175"/>
        </a:xfrm>
        <a:prstGeom prst="roundRect">
          <a:avLst/>
        </a:prstGeom>
        <a:solidFill>
          <a:srgbClr val="37609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QALY</a:t>
          </a:r>
        </a:p>
      </xdr:txBody>
    </xdr:sp>
    <xdr:clientData/>
  </xdr:twoCellAnchor>
  <xdr:twoCellAnchor>
    <xdr:from>
      <xdr:col>7</xdr:col>
      <xdr:colOff>152400</xdr:colOff>
      <xdr:row>5</xdr:row>
      <xdr:rowOff>142875</xdr:rowOff>
    </xdr:from>
    <xdr:to>
      <xdr:col>11</xdr:col>
      <xdr:colOff>85725</xdr:colOff>
      <xdr:row>6</xdr:row>
      <xdr:rowOff>142875</xdr:rowOff>
    </xdr:to>
    <xdr:sp>
      <xdr:nvSpPr>
        <xdr:cNvPr id="7" name="Rounded Rectangle 7"/>
        <xdr:cNvSpPr>
          <a:spLocks/>
        </xdr:cNvSpPr>
      </xdr:nvSpPr>
      <xdr:spPr>
        <a:xfrm>
          <a:off x="2257425" y="1095375"/>
          <a:ext cx="1447800" cy="190500"/>
        </a:xfrm>
        <a:prstGeom prst="round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mortality risk</a:t>
          </a:r>
        </a:p>
      </xdr:txBody>
    </xdr:sp>
    <xdr:clientData/>
  </xdr:twoCellAnchor>
  <xdr:twoCellAnchor>
    <xdr:from>
      <xdr:col>7</xdr:col>
      <xdr:colOff>152400</xdr:colOff>
      <xdr:row>7</xdr:row>
      <xdr:rowOff>28575</xdr:rowOff>
    </xdr:from>
    <xdr:to>
      <xdr:col>9</xdr:col>
      <xdr:colOff>47625</xdr:colOff>
      <xdr:row>8</xdr:row>
      <xdr:rowOff>38100</xdr:rowOff>
    </xdr:to>
    <xdr:sp>
      <xdr:nvSpPr>
        <xdr:cNvPr id="8" name="Rounded Rectangle 8"/>
        <xdr:cNvSpPr>
          <a:spLocks/>
        </xdr:cNvSpPr>
      </xdr:nvSpPr>
      <xdr:spPr>
        <a:xfrm>
          <a:off x="2257425" y="1362075"/>
          <a:ext cx="66675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r>
        </a:p>
      </xdr:txBody>
    </xdr:sp>
    <xdr:clientData/>
  </xdr:twoCellAnchor>
  <xdr:twoCellAnchor>
    <xdr:from>
      <xdr:col>9</xdr:col>
      <xdr:colOff>123825</xdr:colOff>
      <xdr:row>7</xdr:row>
      <xdr:rowOff>28575</xdr:rowOff>
    </xdr:from>
    <xdr:to>
      <xdr:col>11</xdr:col>
      <xdr:colOff>76200</xdr:colOff>
      <xdr:row>8</xdr:row>
      <xdr:rowOff>28575</xdr:rowOff>
    </xdr:to>
    <xdr:sp>
      <xdr:nvSpPr>
        <xdr:cNvPr id="9" name="Rounded Rectangle 9"/>
        <xdr:cNvSpPr>
          <a:spLocks/>
        </xdr:cNvSpPr>
      </xdr:nvSpPr>
      <xdr:spPr>
        <a:xfrm>
          <a:off x="3000375" y="1362075"/>
          <a:ext cx="695325" cy="190500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disease</a:t>
          </a:r>
        </a:p>
      </xdr:txBody>
    </xdr:sp>
    <xdr:clientData/>
  </xdr:twoCellAnchor>
  <xdr:twoCellAnchor>
    <xdr:from>
      <xdr:col>11</xdr:col>
      <xdr:colOff>133350</xdr:colOff>
      <xdr:row>5</xdr:row>
      <xdr:rowOff>95250</xdr:rowOff>
    </xdr:from>
    <xdr:to>
      <xdr:col>13</xdr:col>
      <xdr:colOff>123825</xdr:colOff>
      <xdr:row>8</xdr:row>
      <xdr:rowOff>28575</xdr:rowOff>
    </xdr:to>
    <xdr:sp>
      <xdr:nvSpPr>
        <xdr:cNvPr id="10" name="Rounded Rectangle 10"/>
        <xdr:cNvSpPr>
          <a:spLocks/>
        </xdr:cNvSpPr>
      </xdr:nvSpPr>
      <xdr:spPr>
        <a:xfrm>
          <a:off x="3752850" y="1047750"/>
          <a:ext cx="895350" cy="5048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probability of disease</a:t>
          </a:r>
        </a:p>
      </xdr:txBody>
    </xdr:sp>
    <xdr:clientData/>
  </xdr:twoCellAnchor>
  <xdr:twoCellAnchor>
    <xdr:from>
      <xdr:col>13</xdr:col>
      <xdr:colOff>180975</xdr:colOff>
      <xdr:row>5</xdr:row>
      <xdr:rowOff>114300</xdr:rowOff>
    </xdr:from>
    <xdr:to>
      <xdr:col>15</xdr:col>
      <xdr:colOff>104775</xdr:colOff>
      <xdr:row>8</xdr:row>
      <xdr:rowOff>28575</xdr:rowOff>
    </xdr:to>
    <xdr:sp>
      <xdr:nvSpPr>
        <xdr:cNvPr id="11" name="Rounded Rectangle 11"/>
        <xdr:cNvSpPr>
          <a:spLocks/>
        </xdr:cNvSpPr>
      </xdr:nvSpPr>
      <xdr:spPr>
        <a:xfrm>
          <a:off x="4705350" y="1066800"/>
          <a:ext cx="876300" cy="48577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probability of hosp.</a:t>
          </a:r>
        </a:p>
      </xdr:txBody>
    </xdr:sp>
    <xdr:clientData/>
  </xdr:twoCellAnchor>
  <xdr:twoCellAnchor>
    <xdr:from>
      <xdr:col>17</xdr:col>
      <xdr:colOff>142875</xdr:colOff>
      <xdr:row>7</xdr:row>
      <xdr:rowOff>28575</xdr:rowOff>
    </xdr:from>
    <xdr:to>
      <xdr:col>19</xdr:col>
      <xdr:colOff>85725</xdr:colOff>
      <xdr:row>8</xdr:row>
      <xdr:rowOff>38100</xdr:rowOff>
    </xdr:to>
    <xdr:sp>
      <xdr:nvSpPr>
        <xdr:cNvPr id="12" name="Rounded Rectangle 12"/>
        <xdr:cNvSpPr>
          <a:spLocks/>
        </xdr:cNvSpPr>
      </xdr:nvSpPr>
      <xdr:spPr>
        <a:xfrm>
          <a:off x="5905500" y="1362075"/>
          <a:ext cx="6572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r>
        </a:p>
      </xdr:txBody>
    </xdr:sp>
    <xdr:clientData/>
  </xdr:twoCellAnchor>
  <xdr:twoCellAnchor>
    <xdr:from>
      <xdr:col>19</xdr:col>
      <xdr:colOff>114300</xdr:colOff>
      <xdr:row>7</xdr:row>
      <xdr:rowOff>28575</xdr:rowOff>
    </xdr:from>
    <xdr:to>
      <xdr:col>21</xdr:col>
      <xdr:colOff>95250</xdr:colOff>
      <xdr:row>8</xdr:row>
      <xdr:rowOff>38100</xdr:rowOff>
    </xdr:to>
    <xdr:sp>
      <xdr:nvSpPr>
        <xdr:cNvPr id="13" name="Rounded Rectangle 13"/>
        <xdr:cNvSpPr>
          <a:spLocks/>
        </xdr:cNvSpPr>
      </xdr:nvSpPr>
      <xdr:spPr>
        <a:xfrm>
          <a:off x="6591300" y="1362075"/>
          <a:ext cx="68580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disease</a:t>
          </a:r>
        </a:p>
      </xdr:txBody>
    </xdr:sp>
    <xdr:clientData/>
  </xdr:twoCellAnchor>
  <xdr:twoCellAnchor>
    <xdr:from>
      <xdr:col>21</xdr:col>
      <xdr:colOff>142875</xdr:colOff>
      <xdr:row>7</xdr:row>
      <xdr:rowOff>28575</xdr:rowOff>
    </xdr:from>
    <xdr:to>
      <xdr:col>23</xdr:col>
      <xdr:colOff>95250</xdr:colOff>
      <xdr:row>8</xdr:row>
      <xdr:rowOff>38100</xdr:rowOff>
    </xdr:to>
    <xdr:sp>
      <xdr:nvSpPr>
        <xdr:cNvPr id="14" name="Rounded Rectangle 14"/>
        <xdr:cNvSpPr>
          <a:spLocks/>
        </xdr:cNvSpPr>
      </xdr:nvSpPr>
      <xdr:spPr>
        <a:xfrm>
          <a:off x="7324725" y="1362075"/>
          <a:ext cx="63817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</a:t>
          </a:r>
        </a:p>
      </xdr:txBody>
    </xdr:sp>
    <xdr:clientData/>
  </xdr:twoCellAnchor>
  <xdr:twoCellAnchor>
    <xdr:from>
      <xdr:col>23</xdr:col>
      <xdr:colOff>142875</xdr:colOff>
      <xdr:row>7</xdr:row>
      <xdr:rowOff>28575</xdr:rowOff>
    </xdr:from>
    <xdr:to>
      <xdr:col>25</xdr:col>
      <xdr:colOff>104775</xdr:colOff>
      <xdr:row>8</xdr:row>
      <xdr:rowOff>38100</xdr:rowOff>
    </xdr:to>
    <xdr:sp>
      <xdr:nvSpPr>
        <xdr:cNvPr id="15" name="Rounded Rectangle 15"/>
        <xdr:cNvSpPr>
          <a:spLocks/>
        </xdr:cNvSpPr>
      </xdr:nvSpPr>
      <xdr:spPr>
        <a:xfrm>
          <a:off x="8010525" y="1362075"/>
          <a:ext cx="60960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dead</a:t>
          </a:r>
        </a:p>
      </xdr:txBody>
    </xdr:sp>
    <xdr:clientData/>
  </xdr:twoCellAnchor>
  <xdr:twoCellAnchor>
    <xdr:from>
      <xdr:col>25</xdr:col>
      <xdr:colOff>171450</xdr:colOff>
      <xdr:row>7</xdr:row>
      <xdr:rowOff>28575</xdr:rowOff>
    </xdr:from>
    <xdr:to>
      <xdr:col>27</xdr:col>
      <xdr:colOff>76200</xdr:colOff>
      <xdr:row>8</xdr:row>
      <xdr:rowOff>38100</xdr:rowOff>
    </xdr:to>
    <xdr:sp>
      <xdr:nvSpPr>
        <xdr:cNvPr id="16" name="Rounded Rectangle 16"/>
        <xdr:cNvSpPr>
          <a:spLocks/>
        </xdr:cNvSpPr>
      </xdr:nvSpPr>
      <xdr:spPr>
        <a:xfrm>
          <a:off x="8686800" y="1362075"/>
          <a:ext cx="685800" cy="200025"/>
        </a:xfrm>
        <a:prstGeom prst="round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check</a:t>
          </a:r>
        </a:p>
      </xdr:txBody>
    </xdr:sp>
    <xdr:clientData/>
  </xdr:twoCellAnchor>
  <xdr:twoCellAnchor>
    <xdr:from>
      <xdr:col>29</xdr:col>
      <xdr:colOff>152400</xdr:colOff>
      <xdr:row>4</xdr:row>
      <xdr:rowOff>66675</xdr:rowOff>
    </xdr:from>
    <xdr:to>
      <xdr:col>33</xdr:col>
      <xdr:colOff>85725</xdr:colOff>
      <xdr:row>5</xdr:row>
      <xdr:rowOff>76200</xdr:rowOff>
    </xdr:to>
    <xdr:sp>
      <xdr:nvSpPr>
        <xdr:cNvPr id="17" name="Rounded Rectangle 17"/>
        <xdr:cNvSpPr>
          <a:spLocks/>
        </xdr:cNvSpPr>
      </xdr:nvSpPr>
      <xdr:spPr>
        <a:xfrm>
          <a:off x="9763125" y="828675"/>
          <a:ext cx="1428750" cy="200025"/>
        </a:xfrm>
        <a:prstGeom prst="round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 costs</a:t>
          </a:r>
        </a:p>
      </xdr:txBody>
    </xdr:sp>
    <xdr:clientData/>
  </xdr:twoCellAnchor>
  <xdr:twoCellAnchor>
    <xdr:from>
      <xdr:col>33</xdr:col>
      <xdr:colOff>123825</xdr:colOff>
      <xdr:row>4</xdr:row>
      <xdr:rowOff>66675</xdr:rowOff>
    </xdr:from>
    <xdr:to>
      <xdr:col>37</xdr:col>
      <xdr:colOff>104775</xdr:colOff>
      <xdr:row>5</xdr:row>
      <xdr:rowOff>76200</xdr:rowOff>
    </xdr:to>
    <xdr:sp>
      <xdr:nvSpPr>
        <xdr:cNvPr id="18" name="Rounded Rectangle 18"/>
        <xdr:cNvSpPr>
          <a:spLocks/>
        </xdr:cNvSpPr>
      </xdr:nvSpPr>
      <xdr:spPr>
        <a:xfrm>
          <a:off x="11229975" y="828675"/>
          <a:ext cx="1600200" cy="200025"/>
        </a:xfrm>
        <a:prstGeom prst="round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indirect costs</a:t>
          </a:r>
        </a:p>
      </xdr:txBody>
    </xdr:sp>
    <xdr:clientData/>
  </xdr:twoCellAnchor>
  <xdr:twoCellAnchor>
    <xdr:from>
      <xdr:col>29</xdr:col>
      <xdr:colOff>142875</xdr:colOff>
      <xdr:row>5</xdr:row>
      <xdr:rowOff>123825</xdr:rowOff>
    </xdr:from>
    <xdr:to>
      <xdr:col>31</xdr:col>
      <xdr:colOff>85725</xdr:colOff>
      <xdr:row>6</xdr:row>
      <xdr:rowOff>133350</xdr:rowOff>
    </xdr:to>
    <xdr:sp>
      <xdr:nvSpPr>
        <xdr:cNvPr id="19" name="Rounded Rectangle 19"/>
        <xdr:cNvSpPr>
          <a:spLocks/>
        </xdr:cNvSpPr>
      </xdr:nvSpPr>
      <xdr:spPr>
        <a:xfrm>
          <a:off x="9753600" y="1076325"/>
          <a:ext cx="67627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drug</a:t>
          </a:r>
        </a:p>
      </xdr:txBody>
    </xdr:sp>
    <xdr:clientData/>
  </xdr:twoCellAnchor>
  <xdr:twoCellAnchor>
    <xdr:from>
      <xdr:col>31</xdr:col>
      <xdr:colOff>123825</xdr:colOff>
      <xdr:row>5</xdr:row>
      <xdr:rowOff>123825</xdr:rowOff>
    </xdr:from>
    <xdr:to>
      <xdr:col>33</xdr:col>
      <xdr:colOff>95250</xdr:colOff>
      <xdr:row>6</xdr:row>
      <xdr:rowOff>133350</xdr:rowOff>
    </xdr:to>
    <xdr:sp>
      <xdr:nvSpPr>
        <xdr:cNvPr id="20" name="Rounded Rectangle 20"/>
        <xdr:cNvSpPr>
          <a:spLocks/>
        </xdr:cNvSpPr>
      </xdr:nvSpPr>
      <xdr:spPr>
        <a:xfrm>
          <a:off x="10467975" y="1076325"/>
          <a:ext cx="7334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</a:t>
          </a:r>
        </a:p>
      </xdr:txBody>
    </xdr:sp>
    <xdr:clientData/>
  </xdr:twoCellAnchor>
  <xdr:twoCellAnchor>
    <xdr:from>
      <xdr:col>33</xdr:col>
      <xdr:colOff>142875</xdr:colOff>
      <xdr:row>5</xdr:row>
      <xdr:rowOff>123825</xdr:rowOff>
    </xdr:from>
    <xdr:to>
      <xdr:col>35</xdr:col>
      <xdr:colOff>76200</xdr:colOff>
      <xdr:row>6</xdr:row>
      <xdr:rowOff>133350</xdr:rowOff>
    </xdr:to>
    <xdr:sp>
      <xdr:nvSpPr>
        <xdr:cNvPr id="21" name="Rounded Rectangle 21"/>
        <xdr:cNvSpPr>
          <a:spLocks/>
        </xdr:cNvSpPr>
      </xdr:nvSpPr>
      <xdr:spPr>
        <a:xfrm>
          <a:off x="11249025" y="1076325"/>
          <a:ext cx="73342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</a:t>
          </a:r>
        </a:p>
      </xdr:txBody>
    </xdr:sp>
    <xdr:clientData/>
  </xdr:twoCellAnchor>
  <xdr:twoCellAnchor>
    <xdr:from>
      <xdr:col>35</xdr:col>
      <xdr:colOff>133350</xdr:colOff>
      <xdr:row>5</xdr:row>
      <xdr:rowOff>123825</xdr:rowOff>
    </xdr:from>
    <xdr:to>
      <xdr:col>37</xdr:col>
      <xdr:colOff>114300</xdr:colOff>
      <xdr:row>6</xdr:row>
      <xdr:rowOff>133350</xdr:rowOff>
    </xdr:to>
    <xdr:sp>
      <xdr:nvSpPr>
        <xdr:cNvPr id="22" name="Rounded Rectangle 22"/>
        <xdr:cNvSpPr>
          <a:spLocks/>
        </xdr:cNvSpPr>
      </xdr:nvSpPr>
      <xdr:spPr>
        <a:xfrm>
          <a:off x="12039600" y="1076325"/>
          <a:ext cx="80010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death</a:t>
          </a:r>
        </a:p>
      </xdr:txBody>
    </xdr:sp>
    <xdr:clientData/>
  </xdr:twoCellAnchor>
  <xdr:twoCellAnchor>
    <xdr:from>
      <xdr:col>37</xdr:col>
      <xdr:colOff>161925</xdr:colOff>
      <xdr:row>5</xdr:row>
      <xdr:rowOff>57150</xdr:rowOff>
    </xdr:from>
    <xdr:to>
      <xdr:col>41</xdr:col>
      <xdr:colOff>0</xdr:colOff>
      <xdr:row>6</xdr:row>
      <xdr:rowOff>142875</xdr:rowOff>
    </xdr:to>
    <xdr:sp>
      <xdr:nvSpPr>
        <xdr:cNvPr id="23" name="Rounded Rectangle 23"/>
        <xdr:cNvSpPr>
          <a:spLocks/>
        </xdr:cNvSpPr>
      </xdr:nvSpPr>
      <xdr:spPr>
        <a:xfrm>
          <a:off x="12887325" y="1009650"/>
          <a:ext cx="1000125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total costs</a:t>
          </a:r>
        </a:p>
      </xdr:txBody>
    </xdr:sp>
    <xdr:clientData/>
  </xdr:twoCellAnchor>
  <xdr:twoCellAnchor>
    <xdr:from>
      <xdr:col>42</xdr:col>
      <xdr:colOff>133350</xdr:colOff>
      <xdr:row>5</xdr:row>
      <xdr:rowOff>114300</xdr:rowOff>
    </xdr:from>
    <xdr:to>
      <xdr:col>44</xdr:col>
      <xdr:colOff>114300</xdr:colOff>
      <xdr:row>6</xdr:row>
      <xdr:rowOff>133350</xdr:rowOff>
    </xdr:to>
    <xdr:sp>
      <xdr:nvSpPr>
        <xdr:cNvPr id="24" name="Rounded Rectangle 24"/>
        <xdr:cNvSpPr>
          <a:spLocks/>
        </xdr:cNvSpPr>
      </xdr:nvSpPr>
      <xdr:spPr>
        <a:xfrm>
          <a:off x="14173200" y="1066800"/>
          <a:ext cx="657225" cy="209550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r>
        </a:p>
      </xdr:txBody>
    </xdr:sp>
    <xdr:clientData/>
  </xdr:twoCellAnchor>
  <xdr:twoCellAnchor>
    <xdr:from>
      <xdr:col>44</xdr:col>
      <xdr:colOff>161925</xdr:colOff>
      <xdr:row>5</xdr:row>
      <xdr:rowOff>114300</xdr:rowOff>
    </xdr:from>
    <xdr:to>
      <xdr:col>46</xdr:col>
      <xdr:colOff>38100</xdr:colOff>
      <xdr:row>6</xdr:row>
      <xdr:rowOff>123825</xdr:rowOff>
    </xdr:to>
    <xdr:sp>
      <xdr:nvSpPr>
        <xdr:cNvPr id="25" name="Rounded Rectangle 25"/>
        <xdr:cNvSpPr>
          <a:spLocks/>
        </xdr:cNvSpPr>
      </xdr:nvSpPr>
      <xdr:spPr>
        <a:xfrm>
          <a:off x="14878050" y="1066800"/>
          <a:ext cx="676275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disease</a:t>
          </a:r>
        </a:p>
      </xdr:txBody>
    </xdr:sp>
    <xdr:clientData/>
  </xdr:twoCellAnchor>
  <xdr:twoCellAnchor>
    <xdr:from>
      <xdr:col>46</xdr:col>
      <xdr:colOff>104775</xdr:colOff>
      <xdr:row>5</xdr:row>
      <xdr:rowOff>114300</xdr:rowOff>
    </xdr:from>
    <xdr:to>
      <xdr:col>48</xdr:col>
      <xdr:colOff>85725</xdr:colOff>
      <xdr:row>6</xdr:row>
      <xdr:rowOff>123825</xdr:rowOff>
    </xdr:to>
    <xdr:sp>
      <xdr:nvSpPr>
        <xdr:cNvPr id="26" name="Rounded Rectangle 26"/>
        <xdr:cNvSpPr>
          <a:spLocks/>
        </xdr:cNvSpPr>
      </xdr:nvSpPr>
      <xdr:spPr>
        <a:xfrm>
          <a:off x="15621000" y="1066800"/>
          <a:ext cx="590550" cy="200025"/>
        </a:xfrm>
        <a:prstGeom prst="round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</a:t>
          </a:r>
        </a:p>
      </xdr:txBody>
    </xdr:sp>
    <xdr:clientData/>
  </xdr:twoCellAnchor>
  <xdr:twoCellAnchor>
    <xdr:from>
      <xdr:col>48</xdr:col>
      <xdr:colOff>152400</xdr:colOff>
      <xdr:row>5</xdr:row>
      <xdr:rowOff>57150</xdr:rowOff>
    </xdr:from>
    <xdr:to>
      <xdr:col>52</xdr:col>
      <xdr:colOff>0</xdr:colOff>
      <xdr:row>6</xdr:row>
      <xdr:rowOff>123825</xdr:rowOff>
    </xdr:to>
    <xdr:sp>
      <xdr:nvSpPr>
        <xdr:cNvPr id="27" name="Rounded Rectangle 27"/>
        <xdr:cNvSpPr>
          <a:spLocks/>
        </xdr:cNvSpPr>
      </xdr:nvSpPr>
      <xdr:spPr>
        <a:xfrm>
          <a:off x="16278225" y="1009650"/>
          <a:ext cx="1000125" cy="2571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total QALYs</a:t>
          </a:r>
        </a:p>
      </xdr:txBody>
    </xdr:sp>
    <xdr:clientData/>
  </xdr:twoCellAnchor>
  <xdr:twoCellAnchor>
    <xdr:from>
      <xdr:col>0</xdr:col>
      <xdr:colOff>190500</xdr:colOff>
      <xdr:row>6</xdr:row>
      <xdr:rowOff>171450</xdr:rowOff>
    </xdr:from>
    <xdr:to>
      <xdr:col>5</xdr:col>
      <xdr:colOff>200025</xdr:colOff>
      <xdr:row>8</xdr:row>
      <xdr:rowOff>9525</xdr:rowOff>
    </xdr:to>
    <xdr:sp>
      <xdr:nvSpPr>
        <xdr:cNvPr id="28" name="Left Bracket 28"/>
        <xdr:cNvSpPr>
          <a:spLocks/>
        </xdr:cNvSpPr>
      </xdr:nvSpPr>
      <xdr:spPr>
        <a:xfrm rot="5400000">
          <a:off x="190500" y="1314450"/>
          <a:ext cx="1800225" cy="219075"/>
        </a:xfrm>
        <a:prstGeom prst="leftBracket">
          <a:avLst>
            <a:gd name="adj" fmla="val -4338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6</xdr:col>
      <xdr:colOff>0</xdr:colOff>
      <xdr:row>82</xdr:row>
      <xdr:rowOff>180975</xdr:rowOff>
    </xdr:to>
    <xdr:sp>
      <xdr:nvSpPr>
        <xdr:cNvPr id="29" name="Left Bracket 29"/>
        <xdr:cNvSpPr>
          <a:spLocks/>
        </xdr:cNvSpPr>
      </xdr:nvSpPr>
      <xdr:spPr>
        <a:xfrm rot="16200000">
          <a:off x="190500" y="15516225"/>
          <a:ext cx="1800225" cy="180975"/>
        </a:xfrm>
        <a:prstGeom prst="leftBracket">
          <a:avLst>
            <a:gd name="adj" fmla="val -4453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81</xdr:row>
      <xdr:rowOff>180975</xdr:rowOff>
    </xdr:from>
    <xdr:to>
      <xdr:col>27</xdr:col>
      <xdr:colOff>190500</xdr:colOff>
      <xdr:row>82</xdr:row>
      <xdr:rowOff>171450</xdr:rowOff>
    </xdr:to>
    <xdr:sp>
      <xdr:nvSpPr>
        <xdr:cNvPr id="30" name="Left Bracket 30"/>
        <xdr:cNvSpPr>
          <a:spLocks/>
        </xdr:cNvSpPr>
      </xdr:nvSpPr>
      <xdr:spPr>
        <a:xfrm rot="16200000">
          <a:off x="5762625" y="15506700"/>
          <a:ext cx="3724275" cy="180975"/>
        </a:xfrm>
        <a:prstGeom prst="leftBracket">
          <a:avLst>
            <a:gd name="adj" fmla="val -4736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9525</xdr:rowOff>
    </xdr:from>
    <xdr:to>
      <xdr:col>16</xdr:col>
      <xdr:colOff>0</xdr:colOff>
      <xdr:row>82</xdr:row>
      <xdr:rowOff>171450</xdr:rowOff>
    </xdr:to>
    <xdr:sp>
      <xdr:nvSpPr>
        <xdr:cNvPr id="31" name="Left Bracket 31"/>
        <xdr:cNvSpPr>
          <a:spLocks/>
        </xdr:cNvSpPr>
      </xdr:nvSpPr>
      <xdr:spPr>
        <a:xfrm rot="16200000">
          <a:off x="2105025" y="15525750"/>
          <a:ext cx="3552825" cy="161925"/>
        </a:xfrm>
        <a:prstGeom prst="leftBracket">
          <a:avLst>
            <a:gd name="adj" fmla="val -4752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171450</xdr:colOff>
      <xdr:row>5</xdr:row>
      <xdr:rowOff>66675</xdr:rowOff>
    </xdr:from>
    <xdr:to>
      <xdr:col>41</xdr:col>
      <xdr:colOff>0</xdr:colOff>
      <xdr:row>6</xdr:row>
      <xdr:rowOff>57150</xdr:rowOff>
    </xdr:to>
    <xdr:sp>
      <xdr:nvSpPr>
        <xdr:cNvPr id="32" name="Left Bracket 32"/>
        <xdr:cNvSpPr>
          <a:spLocks/>
        </xdr:cNvSpPr>
      </xdr:nvSpPr>
      <xdr:spPr>
        <a:xfrm rot="5400000">
          <a:off x="12896850" y="1019175"/>
          <a:ext cx="990600" cy="180975"/>
        </a:xfrm>
        <a:prstGeom prst="leftBracket">
          <a:avLst>
            <a:gd name="adj" fmla="val -4012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81</xdr:row>
      <xdr:rowOff>180975</xdr:rowOff>
    </xdr:from>
    <xdr:to>
      <xdr:col>38</xdr:col>
      <xdr:colOff>0</xdr:colOff>
      <xdr:row>82</xdr:row>
      <xdr:rowOff>180975</xdr:rowOff>
    </xdr:to>
    <xdr:sp>
      <xdr:nvSpPr>
        <xdr:cNvPr id="33" name="Left Bracket 33"/>
        <xdr:cNvSpPr>
          <a:spLocks/>
        </xdr:cNvSpPr>
      </xdr:nvSpPr>
      <xdr:spPr>
        <a:xfrm rot="16200000">
          <a:off x="9610725" y="15506700"/>
          <a:ext cx="3286125" cy="190500"/>
        </a:xfrm>
        <a:prstGeom prst="leftBracket">
          <a:avLst>
            <a:gd name="adj" fmla="val -4685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171450</xdr:colOff>
      <xdr:row>81</xdr:row>
      <xdr:rowOff>190500</xdr:rowOff>
    </xdr:from>
    <xdr:to>
      <xdr:col>41</xdr:col>
      <xdr:colOff>0</xdr:colOff>
      <xdr:row>82</xdr:row>
      <xdr:rowOff>190500</xdr:rowOff>
    </xdr:to>
    <xdr:sp>
      <xdr:nvSpPr>
        <xdr:cNvPr id="34" name="Left Bracket 34"/>
        <xdr:cNvSpPr>
          <a:spLocks/>
        </xdr:cNvSpPr>
      </xdr:nvSpPr>
      <xdr:spPr>
        <a:xfrm rot="16200000">
          <a:off x="12896850" y="15516225"/>
          <a:ext cx="990600" cy="190500"/>
        </a:xfrm>
        <a:prstGeom prst="leftBracket">
          <a:avLst>
            <a:gd name="adj" fmla="val -3958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152400</xdr:colOff>
      <xdr:row>81</xdr:row>
      <xdr:rowOff>161925</xdr:rowOff>
    </xdr:from>
    <xdr:to>
      <xdr:col>49</xdr:col>
      <xdr:colOff>0</xdr:colOff>
      <xdr:row>82</xdr:row>
      <xdr:rowOff>171450</xdr:rowOff>
    </xdr:to>
    <xdr:sp>
      <xdr:nvSpPr>
        <xdr:cNvPr id="35" name="Left Bracket 35"/>
        <xdr:cNvSpPr>
          <a:spLocks/>
        </xdr:cNvSpPr>
      </xdr:nvSpPr>
      <xdr:spPr>
        <a:xfrm rot="16200000">
          <a:off x="14039850" y="15487650"/>
          <a:ext cx="2247900" cy="200025"/>
        </a:xfrm>
        <a:prstGeom prst="leftBracket">
          <a:avLst>
            <a:gd name="adj" fmla="val -4517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9525</xdr:colOff>
      <xdr:row>5</xdr:row>
      <xdr:rowOff>66675</xdr:rowOff>
    </xdr:from>
    <xdr:to>
      <xdr:col>51</xdr:col>
      <xdr:colOff>161925</xdr:colOff>
      <xdr:row>6</xdr:row>
      <xdr:rowOff>9525</xdr:rowOff>
    </xdr:to>
    <xdr:sp>
      <xdr:nvSpPr>
        <xdr:cNvPr id="36" name="Left Bracket 36"/>
        <xdr:cNvSpPr>
          <a:spLocks/>
        </xdr:cNvSpPr>
      </xdr:nvSpPr>
      <xdr:spPr>
        <a:xfrm rot="5400000">
          <a:off x="16297275" y="1019175"/>
          <a:ext cx="981075" cy="133350"/>
        </a:xfrm>
        <a:prstGeom prst="leftBracket">
          <a:avLst>
            <a:gd name="adj" fmla="val -4263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161925</xdr:colOff>
      <xdr:row>81</xdr:row>
      <xdr:rowOff>161925</xdr:rowOff>
    </xdr:from>
    <xdr:to>
      <xdr:col>52</xdr:col>
      <xdr:colOff>0</xdr:colOff>
      <xdr:row>82</xdr:row>
      <xdr:rowOff>171450</xdr:rowOff>
    </xdr:to>
    <xdr:sp>
      <xdr:nvSpPr>
        <xdr:cNvPr id="37" name="Left Bracket 37"/>
        <xdr:cNvSpPr>
          <a:spLocks/>
        </xdr:cNvSpPr>
      </xdr:nvSpPr>
      <xdr:spPr>
        <a:xfrm rot="16200000">
          <a:off x="16287750" y="15487650"/>
          <a:ext cx="990600" cy="200025"/>
        </a:xfrm>
        <a:prstGeom prst="leftBracket">
          <a:avLst>
            <a:gd name="adj" fmla="val -3906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180975</xdr:rowOff>
    </xdr:from>
    <xdr:to>
      <xdr:col>16</xdr:col>
      <xdr:colOff>0</xdr:colOff>
      <xdr:row>6</xdr:row>
      <xdr:rowOff>28575</xdr:rowOff>
    </xdr:to>
    <xdr:sp>
      <xdr:nvSpPr>
        <xdr:cNvPr id="38" name="Left Bracket 38"/>
        <xdr:cNvSpPr>
          <a:spLocks/>
        </xdr:cNvSpPr>
      </xdr:nvSpPr>
      <xdr:spPr>
        <a:xfrm rot="5400000">
          <a:off x="2105025" y="942975"/>
          <a:ext cx="3552825" cy="228600"/>
        </a:xfrm>
        <a:prstGeom prst="leftBracket">
          <a:avLst>
            <a:gd name="adj" fmla="val -4650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0</xdr:rowOff>
    </xdr:from>
    <xdr:to>
      <xdr:col>27</xdr:col>
      <xdr:colOff>190500</xdr:colOff>
      <xdr:row>6</xdr:row>
      <xdr:rowOff>9525</xdr:rowOff>
    </xdr:to>
    <xdr:sp>
      <xdr:nvSpPr>
        <xdr:cNvPr id="39" name="Left Bracket 39"/>
        <xdr:cNvSpPr>
          <a:spLocks/>
        </xdr:cNvSpPr>
      </xdr:nvSpPr>
      <xdr:spPr>
        <a:xfrm rot="5400000">
          <a:off x="5762625" y="952500"/>
          <a:ext cx="3724275" cy="200025"/>
        </a:xfrm>
        <a:prstGeom prst="leftBracket">
          <a:avLst>
            <a:gd name="adj" fmla="val -4708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123825</xdr:colOff>
      <xdr:row>4</xdr:row>
      <xdr:rowOff>38100</xdr:rowOff>
    </xdr:from>
    <xdr:to>
      <xdr:col>38</xdr:col>
      <xdr:colOff>0</xdr:colOff>
      <xdr:row>5</xdr:row>
      <xdr:rowOff>19050</xdr:rowOff>
    </xdr:to>
    <xdr:sp>
      <xdr:nvSpPr>
        <xdr:cNvPr id="40" name="Left Bracket 40"/>
        <xdr:cNvSpPr>
          <a:spLocks/>
        </xdr:cNvSpPr>
      </xdr:nvSpPr>
      <xdr:spPr>
        <a:xfrm rot="5400000">
          <a:off x="9610725" y="800100"/>
          <a:ext cx="3286125" cy="171450"/>
        </a:xfrm>
        <a:prstGeom prst="leftBracket">
          <a:avLst>
            <a:gd name="adj" fmla="val -471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5</xdr:row>
      <xdr:rowOff>66675</xdr:rowOff>
    </xdr:from>
    <xdr:to>
      <xdr:col>48</xdr:col>
      <xdr:colOff>161925</xdr:colOff>
      <xdr:row>6</xdr:row>
      <xdr:rowOff>57150</xdr:rowOff>
    </xdr:to>
    <xdr:sp>
      <xdr:nvSpPr>
        <xdr:cNvPr id="41" name="Left Bracket 41"/>
        <xdr:cNvSpPr>
          <a:spLocks/>
        </xdr:cNvSpPr>
      </xdr:nvSpPr>
      <xdr:spPr>
        <a:xfrm rot="5400000">
          <a:off x="14039850" y="1019175"/>
          <a:ext cx="2247900" cy="180975"/>
        </a:xfrm>
        <a:prstGeom prst="leftBracket">
          <a:avLst>
            <a:gd name="adj" fmla="val -456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1:O20"/>
  <sheetViews>
    <sheetView showGridLines="0" tabSelected="1" zoomScalePageLayoutView="0" workbookViewId="0" topLeftCell="A1">
      <selection activeCell="K28" sqref="K28"/>
    </sheetView>
  </sheetViews>
  <sheetFormatPr defaultColWidth="9.140625" defaultRowHeight="15"/>
  <cols>
    <col min="3" max="3" width="2.28125" style="0" customWidth="1"/>
    <col min="4" max="4" width="11.421875" style="0" customWidth="1"/>
    <col min="5" max="5" width="2.28125" style="0" customWidth="1"/>
    <col min="6" max="6" width="10.00390625" style="0" customWidth="1"/>
    <col min="7" max="7" width="2.57421875" style="0" customWidth="1"/>
    <col min="9" max="9" width="2.421875" style="0" customWidth="1"/>
    <col min="10" max="10" width="10.140625" style="0" customWidth="1"/>
    <col min="11" max="11" width="2.7109375" style="0" customWidth="1"/>
    <col min="13" max="13" width="2.7109375" style="0" customWidth="1"/>
    <col min="14" max="14" width="10.8515625" style="0" customWidth="1"/>
    <col min="15" max="15" width="2.421875" style="0" customWidth="1"/>
  </cols>
  <sheetData>
    <row r="11" spans="2:15" ht="15">
      <c r="B11" s="48"/>
      <c r="O11" s="48"/>
    </row>
    <row r="12" spans="2:15" ht="15">
      <c r="B12" s="16"/>
      <c r="O12" s="16"/>
    </row>
    <row r="13" spans="2:15" ht="4.5" customHeight="1">
      <c r="B13" s="16"/>
      <c r="O13" s="16"/>
    </row>
    <row r="14" spans="2:15" ht="15">
      <c r="B14" s="16"/>
      <c r="F14" s="4"/>
      <c r="G14" s="4"/>
      <c r="H14" s="4"/>
      <c r="I14" s="4"/>
      <c r="J14" s="4"/>
      <c r="K14" s="4"/>
      <c r="L14" s="4"/>
      <c r="M14" s="4"/>
      <c r="N14" s="4"/>
      <c r="O14" s="16"/>
    </row>
    <row r="15" spans="2:15" ht="4.5" customHeight="1">
      <c r="B15" s="16"/>
      <c r="O15" s="16"/>
    </row>
    <row r="16" spans="2:15" ht="15">
      <c r="B16" s="16"/>
      <c r="D16" s="1" t="s">
        <v>34</v>
      </c>
      <c r="F16" s="51">
        <f>total_costs_new</f>
        <v>687945.7982281554</v>
      </c>
      <c r="H16" s="43">
        <f>total_qalys_new</f>
        <v>12.246668291899137</v>
      </c>
      <c r="J16" s="52">
        <f>F16-F18</f>
        <v>309148.2784094998</v>
      </c>
      <c r="L16" s="53">
        <f>H16-H18</f>
        <v>0.6481539568545998</v>
      </c>
      <c r="N16" s="52">
        <f>J16/L16</f>
        <v>476967.35496262804</v>
      </c>
      <c r="O16" s="16"/>
    </row>
    <row r="17" spans="2:15" ht="4.5" customHeight="1">
      <c r="B17" s="16"/>
      <c r="D17" s="1"/>
      <c r="O17" s="16"/>
    </row>
    <row r="18" spans="2:15" ht="15">
      <c r="B18" s="16"/>
      <c r="D18" s="1" t="s">
        <v>35</v>
      </c>
      <c r="F18" s="51">
        <f>total_costs_old</f>
        <v>378797.51981865556</v>
      </c>
      <c r="H18" s="43">
        <f>total_qalys_old</f>
        <v>11.598514335044538</v>
      </c>
      <c r="O18" s="16"/>
    </row>
    <row r="19" spans="2:15" ht="4.5" customHeight="1">
      <c r="B19" s="16"/>
      <c r="O19" s="16"/>
    </row>
    <row r="20" spans="2:15" ht="15">
      <c r="B20" s="48"/>
      <c r="O20" s="48"/>
    </row>
    <row r="21" ht="4.5" customHeight="1"/>
    <row r="23" ht="4.5" customHeight="1"/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7:T37"/>
  <sheetViews>
    <sheetView showGridLines="0" zoomScalePageLayoutView="0" workbookViewId="0" topLeftCell="A1">
      <selection activeCell="G35" sqref="G35"/>
    </sheetView>
  </sheetViews>
  <sheetFormatPr defaultColWidth="9.140625" defaultRowHeight="15"/>
  <cols>
    <col min="1" max="1" width="3.421875" style="0" customWidth="1"/>
    <col min="2" max="2" width="3.140625" style="0" customWidth="1"/>
    <col min="4" max="4" width="1.57421875" style="0" customWidth="1"/>
    <col min="5" max="5" width="30.8515625" style="0" bestFit="1" customWidth="1"/>
    <col min="6" max="6" width="1.57421875" style="0" customWidth="1"/>
    <col min="7" max="7" width="13.28125" style="0" customWidth="1"/>
    <col min="8" max="8" width="1.57421875" style="0" customWidth="1"/>
    <col min="9" max="9" width="10.00390625" style="0" bestFit="1" customWidth="1"/>
    <col min="10" max="10" width="1.57421875" style="0" customWidth="1"/>
    <col min="11" max="11" width="11.140625" style="0" customWidth="1"/>
    <col min="12" max="12" width="1.57421875" style="0" customWidth="1"/>
    <col min="14" max="14" width="1.57421875" style="0" customWidth="1"/>
    <col min="16" max="16" width="1.57421875" style="0" customWidth="1"/>
    <col min="17" max="17" width="13.00390625" style="0" customWidth="1"/>
    <col min="18" max="18" width="1.7109375" style="0" customWidth="1"/>
    <col min="20" max="20" width="1.57421875" style="0" customWidth="1"/>
  </cols>
  <sheetData>
    <row r="7" spans="3:20" ht="15">
      <c r="C7" s="16"/>
      <c r="T7" s="16"/>
    </row>
    <row r="8" spans="3:20" ht="15">
      <c r="C8" s="16"/>
      <c r="T8" s="16"/>
    </row>
    <row r="9" spans="3:20" ht="15">
      <c r="C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6"/>
    </row>
    <row r="10" spans="3:20" ht="4.5" customHeight="1">
      <c r="C10" s="1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6"/>
    </row>
    <row r="11" spans="3:20" ht="15">
      <c r="C11" s="16"/>
      <c r="E11" t="s">
        <v>12</v>
      </c>
      <c r="G11" s="10">
        <f>IF(prob=1,S11,I11)</f>
        <v>30000</v>
      </c>
      <c r="H11" s="7"/>
      <c r="I11" s="10">
        <v>30000</v>
      </c>
      <c r="J11" s="7"/>
      <c r="K11" s="14">
        <v>3000</v>
      </c>
      <c r="L11" s="4"/>
      <c r="M11" s="14">
        <f>(I11/K11)^2</f>
        <v>100</v>
      </c>
      <c r="N11" s="4"/>
      <c r="O11" s="14">
        <f>(K11^2)/I11</f>
        <v>300</v>
      </c>
      <c r="P11" s="4"/>
      <c r="Q11" s="14" t="s">
        <v>13</v>
      </c>
      <c r="R11" s="4"/>
      <c r="S11" s="10">
        <f ca="1">GAMMAINV(RAND(),M11,O11)</f>
        <v>32620.139632307943</v>
      </c>
      <c r="T11" s="16"/>
    </row>
    <row r="12" spans="3:20" ht="4.5" customHeight="1">
      <c r="C12" s="16"/>
      <c r="G12" s="7"/>
      <c r="H12" s="7"/>
      <c r="I12" s="7"/>
      <c r="J12" s="7"/>
      <c r="K12" s="4"/>
      <c r="L12" s="4"/>
      <c r="M12" s="4"/>
      <c r="N12" s="4"/>
      <c r="O12" s="4"/>
      <c r="P12" s="4"/>
      <c r="Q12" s="4"/>
      <c r="R12" s="4"/>
      <c r="S12" s="7"/>
      <c r="T12" s="16"/>
    </row>
    <row r="13" spans="3:20" ht="15">
      <c r="C13" s="16"/>
      <c r="E13" t="s">
        <v>14</v>
      </c>
      <c r="G13" s="10">
        <f>IF(prob=1,S13,I13)</f>
        <v>5000</v>
      </c>
      <c r="H13" s="7"/>
      <c r="I13" s="10">
        <v>5000</v>
      </c>
      <c r="J13" s="7"/>
      <c r="K13" s="14">
        <v>500</v>
      </c>
      <c r="L13" s="4"/>
      <c r="M13" s="14">
        <f>(I13/K13)^2</f>
        <v>100</v>
      </c>
      <c r="N13" s="4"/>
      <c r="O13" s="14">
        <f>(K13^2)/I13</f>
        <v>50</v>
      </c>
      <c r="P13" s="4"/>
      <c r="Q13" s="14" t="s">
        <v>13</v>
      </c>
      <c r="R13" s="4"/>
      <c r="S13" s="10">
        <f ca="1">GAMMAINV(RAND(),M13,O13)</f>
        <v>5122.446407559861</v>
      </c>
      <c r="T13" s="16"/>
    </row>
    <row r="14" spans="3:20" ht="4.5" customHeight="1">
      <c r="C14" s="16"/>
      <c r="G14" s="7"/>
      <c r="H14" s="7"/>
      <c r="I14" s="7"/>
      <c r="J14" s="7"/>
      <c r="K14" s="4"/>
      <c r="L14" s="4"/>
      <c r="M14" s="4"/>
      <c r="N14" s="4"/>
      <c r="O14" s="4"/>
      <c r="P14" s="4"/>
      <c r="Q14" s="4"/>
      <c r="R14" s="4"/>
      <c r="S14" s="7"/>
      <c r="T14" s="16"/>
    </row>
    <row r="15" spans="3:20" ht="15">
      <c r="C15" s="16"/>
      <c r="E15" t="s">
        <v>15</v>
      </c>
      <c r="G15" s="10">
        <f>IF(prob=1,S15,I15)</f>
        <v>70000</v>
      </c>
      <c r="H15" s="7"/>
      <c r="I15" s="10">
        <v>70000</v>
      </c>
      <c r="J15" s="7"/>
      <c r="K15" s="14">
        <v>5000</v>
      </c>
      <c r="L15" s="4"/>
      <c r="M15" s="14">
        <f>(I15/K15)^2</f>
        <v>196</v>
      </c>
      <c r="N15" s="4"/>
      <c r="O15" s="15">
        <f>(K15^2)/I15</f>
        <v>357.14285714285717</v>
      </c>
      <c r="P15" s="5"/>
      <c r="Q15" s="14" t="s">
        <v>13</v>
      </c>
      <c r="R15" s="4"/>
      <c r="S15" s="10">
        <f ca="1">GAMMAINV(RAND(),M15,O15)</f>
        <v>69598.10080605431</v>
      </c>
      <c r="T15" s="16"/>
    </row>
    <row r="16" spans="3:20" ht="4.5" customHeight="1">
      <c r="C16" s="16"/>
      <c r="G16" s="7"/>
      <c r="H16" s="7"/>
      <c r="I16" s="7"/>
      <c r="J16" s="7"/>
      <c r="K16" s="4"/>
      <c r="L16" s="4"/>
      <c r="M16" s="4"/>
      <c r="N16" s="4"/>
      <c r="O16" s="5"/>
      <c r="P16" s="5"/>
      <c r="Q16" s="4"/>
      <c r="R16" s="4"/>
      <c r="S16" s="7"/>
      <c r="T16" s="16"/>
    </row>
    <row r="17" spans="3:20" ht="15">
      <c r="C17" s="16"/>
      <c r="E17" t="s">
        <v>16</v>
      </c>
      <c r="G17" s="11">
        <f>IF(prob=1,S17,I17)</f>
        <v>0.9</v>
      </c>
      <c r="H17" s="8"/>
      <c r="I17" s="11">
        <v>0.9</v>
      </c>
      <c r="J17" s="8"/>
      <c r="K17" s="14">
        <v>0.1</v>
      </c>
      <c r="L17" s="4"/>
      <c r="M17" s="14" t="s">
        <v>24</v>
      </c>
      <c r="N17" s="4"/>
      <c r="O17" s="14" t="s">
        <v>24</v>
      </c>
      <c r="P17" s="4"/>
      <c r="Q17" s="14" t="s">
        <v>17</v>
      </c>
      <c r="R17" s="4"/>
      <c r="S17" s="11">
        <f ca="1">NORMINV(RAND(),I17,K17)</f>
        <v>0.9058681360769328</v>
      </c>
      <c r="T17" s="16"/>
    </row>
    <row r="18" spans="3:20" ht="4.5" customHeight="1">
      <c r="C18" s="16"/>
      <c r="G18" s="8"/>
      <c r="H18" s="8"/>
      <c r="I18" s="8"/>
      <c r="J18" s="8"/>
      <c r="K18" s="4"/>
      <c r="L18" s="4"/>
      <c r="M18" s="4"/>
      <c r="N18" s="4"/>
      <c r="O18" s="4"/>
      <c r="P18" s="4"/>
      <c r="Q18" s="4"/>
      <c r="R18" s="4"/>
      <c r="S18" s="8"/>
      <c r="T18" s="16"/>
    </row>
    <row r="19" spans="3:20" ht="15">
      <c r="C19" s="16"/>
      <c r="E19" t="s">
        <v>18</v>
      </c>
      <c r="G19" s="11">
        <f>IF(prob=1,S19,I19)</f>
        <v>0.9</v>
      </c>
      <c r="H19" s="8"/>
      <c r="I19" s="11">
        <v>0.9</v>
      </c>
      <c r="J19" s="8"/>
      <c r="K19" s="14">
        <v>0.1</v>
      </c>
      <c r="L19" s="4"/>
      <c r="M19" s="14" t="s">
        <v>24</v>
      </c>
      <c r="N19" s="4"/>
      <c r="O19" s="14" t="s">
        <v>24</v>
      </c>
      <c r="P19" s="4"/>
      <c r="Q19" s="14" t="s">
        <v>17</v>
      </c>
      <c r="R19" s="4"/>
      <c r="S19" s="11">
        <f ca="1">NORMINV(RAND(),I19,K19)</f>
        <v>0.8492824986682963</v>
      </c>
      <c r="T19" s="16"/>
    </row>
    <row r="20" spans="3:20" ht="4.5" customHeight="1">
      <c r="C20" s="16"/>
      <c r="G20" s="8"/>
      <c r="H20" s="8"/>
      <c r="I20" s="8"/>
      <c r="J20" s="8"/>
      <c r="K20" s="4"/>
      <c r="L20" s="4"/>
      <c r="M20" s="4"/>
      <c r="N20" s="4"/>
      <c r="O20" s="4"/>
      <c r="P20" s="4"/>
      <c r="Q20" s="4"/>
      <c r="R20" s="4"/>
      <c r="S20" s="8"/>
      <c r="T20" s="16"/>
    </row>
    <row r="21" spans="3:20" ht="15">
      <c r="C21" s="16"/>
      <c r="E21" t="s">
        <v>19</v>
      </c>
      <c r="G21" s="11">
        <f>IF(prob=1,S21,I21)</f>
        <v>0.5</v>
      </c>
      <c r="H21" s="8"/>
      <c r="I21" s="11">
        <v>0.5</v>
      </c>
      <c r="J21" s="8"/>
      <c r="K21" s="14">
        <v>0.05</v>
      </c>
      <c r="L21" s="4"/>
      <c r="M21" s="14" t="s">
        <v>24</v>
      </c>
      <c r="N21" s="4"/>
      <c r="O21" s="14" t="s">
        <v>24</v>
      </c>
      <c r="P21" s="4"/>
      <c r="Q21" s="14" t="s">
        <v>17</v>
      </c>
      <c r="R21" s="4"/>
      <c r="S21" s="11">
        <f ca="1">NORMINV(RAND(),I21,K21)</f>
        <v>0.5415358911176336</v>
      </c>
      <c r="T21" s="16"/>
    </row>
    <row r="22" spans="3:20" ht="4.5" customHeight="1">
      <c r="C22" s="16"/>
      <c r="G22" s="8"/>
      <c r="H22" s="8"/>
      <c r="I22" s="8"/>
      <c r="J22" s="8"/>
      <c r="K22" s="4"/>
      <c r="L22" s="4"/>
      <c r="M22" s="4"/>
      <c r="N22" s="4"/>
      <c r="O22" s="4"/>
      <c r="P22" s="4"/>
      <c r="Q22" s="4"/>
      <c r="R22" s="4"/>
      <c r="S22" s="8"/>
      <c r="T22" s="16"/>
    </row>
    <row r="23" spans="3:20" ht="15">
      <c r="C23" s="16"/>
      <c r="E23" t="s">
        <v>20</v>
      </c>
      <c r="G23" s="11">
        <f>IF(prob=1,S23,I23)</f>
        <v>0.8</v>
      </c>
      <c r="H23" s="8"/>
      <c r="I23" s="11">
        <v>0.8</v>
      </c>
      <c r="J23" s="8"/>
      <c r="K23" s="14">
        <v>0.05</v>
      </c>
      <c r="L23" s="4"/>
      <c r="M23" s="15">
        <f>I23*(I23*(1-I23)/(K23^2)-1)</f>
        <v>50.399999999999984</v>
      </c>
      <c r="N23" s="5"/>
      <c r="O23" s="15">
        <f>I23*(1-I23)/(K23^2)-1-M23</f>
        <v>12.599999999999994</v>
      </c>
      <c r="P23" s="5"/>
      <c r="Q23" s="14" t="s">
        <v>11</v>
      </c>
      <c r="R23" s="4"/>
      <c r="S23" s="11">
        <f ca="1">BETAINV(RAND(),M23,O23)</f>
        <v>0.807001552315934</v>
      </c>
      <c r="T23" s="16"/>
    </row>
    <row r="24" spans="3:20" ht="4.5" customHeight="1">
      <c r="C24" s="16"/>
      <c r="G24" s="8"/>
      <c r="H24" s="8"/>
      <c r="I24" s="8"/>
      <c r="J24" s="8"/>
      <c r="K24" s="4"/>
      <c r="L24" s="4"/>
      <c r="M24" s="5"/>
      <c r="N24" s="5"/>
      <c r="O24" s="5"/>
      <c r="P24" s="5"/>
      <c r="Q24" s="4"/>
      <c r="R24" s="4"/>
      <c r="S24" s="8"/>
      <c r="T24" s="16"/>
    </row>
    <row r="25" spans="3:20" ht="15">
      <c r="C25" s="16"/>
      <c r="E25" t="s">
        <v>21</v>
      </c>
      <c r="G25" s="11">
        <f>IF(prob=1,S25,I25)</f>
        <v>0.65</v>
      </c>
      <c r="H25" s="8"/>
      <c r="I25" s="11">
        <v>0.65</v>
      </c>
      <c r="J25" s="8"/>
      <c r="K25" s="14">
        <v>0.05</v>
      </c>
      <c r="L25" s="4"/>
      <c r="M25" s="15">
        <f>I25*(I25*(1-I25)/(K25^2)-1)</f>
        <v>58.499999999999986</v>
      </c>
      <c r="N25" s="5"/>
      <c r="O25" s="15">
        <f>I25*(1-I25)/(K25^2)-1-M25</f>
        <v>31.499999999999986</v>
      </c>
      <c r="P25" s="5"/>
      <c r="Q25" s="14" t="s">
        <v>11</v>
      </c>
      <c r="R25" s="4"/>
      <c r="S25" s="11">
        <f ca="1">BETAINV(RAND(),M25,O25)</f>
        <v>0.6873247578232995</v>
      </c>
      <c r="T25" s="16"/>
    </row>
    <row r="26" spans="3:20" ht="4.5" customHeight="1">
      <c r="C26" s="16"/>
      <c r="G26" s="8"/>
      <c r="H26" s="8"/>
      <c r="I26" s="8"/>
      <c r="J26" s="8"/>
      <c r="K26" s="4"/>
      <c r="L26" s="4"/>
      <c r="M26" s="5"/>
      <c r="N26" s="5"/>
      <c r="O26" s="5"/>
      <c r="P26" s="5"/>
      <c r="Q26" s="4"/>
      <c r="R26" s="4"/>
      <c r="S26" s="8"/>
      <c r="T26" s="16"/>
    </row>
    <row r="27" spans="3:20" ht="15">
      <c r="C27" s="16"/>
      <c r="E27" t="s">
        <v>22</v>
      </c>
      <c r="G27" s="11">
        <f>IF(prob=1,S27,I27)</f>
        <v>0.1</v>
      </c>
      <c r="H27" s="8"/>
      <c r="I27" s="11">
        <v>0.1</v>
      </c>
      <c r="J27" s="8"/>
      <c r="K27" s="14">
        <v>0.01</v>
      </c>
      <c r="L27" s="4"/>
      <c r="M27" s="15">
        <f>I27*(I27*(1-I27)/(K27^2)-1)</f>
        <v>89.90000000000002</v>
      </c>
      <c r="N27" s="5"/>
      <c r="O27" s="15">
        <f>I27*(1-I27)/(K27^2)-1-M27</f>
        <v>809.1000000000001</v>
      </c>
      <c r="P27" s="5"/>
      <c r="Q27" s="14" t="s">
        <v>11</v>
      </c>
      <c r="R27" s="4"/>
      <c r="S27" s="11">
        <f ca="1">BETAINV(RAND(),M27,O27)</f>
        <v>0.0989602201386927</v>
      </c>
      <c r="T27" s="16"/>
    </row>
    <row r="28" spans="3:20" s="38" customFormat="1" ht="4.5" customHeight="1">
      <c r="C28" s="37"/>
      <c r="G28" s="8"/>
      <c r="H28" s="8"/>
      <c r="I28" s="8"/>
      <c r="J28" s="8"/>
      <c r="K28" s="39"/>
      <c r="L28" s="40"/>
      <c r="M28" s="41"/>
      <c r="N28" s="42"/>
      <c r="O28" s="41"/>
      <c r="P28" s="42"/>
      <c r="Q28" s="39"/>
      <c r="R28" s="40"/>
      <c r="S28" s="8"/>
      <c r="T28" s="37"/>
    </row>
    <row r="29" spans="3:20" ht="15">
      <c r="C29" s="16"/>
      <c r="E29" t="s">
        <v>31</v>
      </c>
      <c r="G29" s="10">
        <f>IF(prob=1,S29,I29)</f>
        <v>200000</v>
      </c>
      <c r="H29" s="8"/>
      <c r="I29" s="10">
        <v>200000</v>
      </c>
      <c r="J29" s="8"/>
      <c r="K29" s="10">
        <v>500</v>
      </c>
      <c r="L29" s="4"/>
      <c r="M29" s="10">
        <v>160000</v>
      </c>
      <c r="N29" s="5"/>
      <c r="O29" s="43">
        <v>1.25</v>
      </c>
      <c r="P29" s="5"/>
      <c r="Q29" s="14" t="s">
        <v>13</v>
      </c>
      <c r="R29" s="4"/>
      <c r="S29" s="10">
        <f ca="1">GAMMAINV(RAND(),M29,O29)</f>
        <v>198824.56208235404</v>
      </c>
      <c r="T29" s="16"/>
    </row>
    <row r="30" spans="3:20" s="38" customFormat="1" ht="4.5" customHeight="1">
      <c r="C30" s="37"/>
      <c r="G30" s="8"/>
      <c r="H30" s="8"/>
      <c r="I30" s="8"/>
      <c r="J30" s="8"/>
      <c r="K30" s="39"/>
      <c r="L30" s="40"/>
      <c r="M30" s="41"/>
      <c r="N30" s="42"/>
      <c r="O30" s="41"/>
      <c r="P30" s="42"/>
      <c r="Q30" s="39"/>
      <c r="R30" s="40"/>
      <c r="S30" s="8"/>
      <c r="T30" s="37"/>
    </row>
    <row r="31" spans="3:20" ht="15">
      <c r="C31" s="16"/>
      <c r="E31" t="s">
        <v>32</v>
      </c>
      <c r="G31" s="10">
        <f>IF(prob=1,S31,I31)</f>
        <v>800</v>
      </c>
      <c r="H31" s="8"/>
      <c r="I31" s="10">
        <v>800</v>
      </c>
      <c r="J31" s="8"/>
      <c r="K31" s="10">
        <v>30</v>
      </c>
      <c r="L31" s="4"/>
      <c r="M31" s="10">
        <v>711.1111111111112</v>
      </c>
      <c r="N31" s="5"/>
      <c r="O31" s="43">
        <v>1.125</v>
      </c>
      <c r="P31" s="5"/>
      <c r="Q31" s="14" t="s">
        <v>13</v>
      </c>
      <c r="R31" s="4"/>
      <c r="S31" s="10">
        <f ca="1">GAMMAINV(RAND(),M31,O31)</f>
        <v>782.5268255531955</v>
      </c>
      <c r="T31" s="16"/>
    </row>
    <row r="32" spans="3:20" s="38" customFormat="1" ht="4.5" customHeight="1">
      <c r="C32" s="37"/>
      <c r="G32" s="8"/>
      <c r="H32" s="8"/>
      <c r="I32" s="8"/>
      <c r="J32" s="8"/>
      <c r="K32" s="39"/>
      <c r="L32" s="40"/>
      <c r="M32" s="41"/>
      <c r="N32" s="42"/>
      <c r="O32" s="41"/>
      <c r="P32" s="42"/>
      <c r="Q32" s="39"/>
      <c r="R32" s="40"/>
      <c r="S32" s="8"/>
      <c r="T32" s="37"/>
    </row>
    <row r="33" spans="3:20" ht="15">
      <c r="C33" s="16"/>
      <c r="E33" t="s">
        <v>33</v>
      </c>
      <c r="G33" s="44">
        <f>IF(prob=1,S33,I33)</f>
        <v>7</v>
      </c>
      <c r="H33" s="8"/>
      <c r="I33" s="10">
        <v>7</v>
      </c>
      <c r="J33" s="8"/>
      <c r="K33" s="10">
        <v>1</v>
      </c>
      <c r="L33" s="4">
        <v>49</v>
      </c>
      <c r="M33" s="10">
        <v>49</v>
      </c>
      <c r="N33" s="5"/>
      <c r="O33" s="43">
        <v>0.14285714285714285</v>
      </c>
      <c r="P33" s="5"/>
      <c r="Q33" s="14" t="s">
        <v>13</v>
      </c>
      <c r="R33" s="4"/>
      <c r="S33" s="10">
        <f ca="1">GAMMAINV(RAND(),M33,O33)</f>
        <v>6.425787673835605</v>
      </c>
      <c r="T33" s="16"/>
    </row>
    <row r="34" spans="3:20" ht="4.5" customHeight="1">
      <c r="C34" s="16"/>
      <c r="G34" s="8"/>
      <c r="H34" s="8"/>
      <c r="I34" s="8"/>
      <c r="J34" s="8"/>
      <c r="K34" s="4"/>
      <c r="L34" s="4"/>
      <c r="M34" s="5"/>
      <c r="N34" s="5"/>
      <c r="O34" s="5"/>
      <c r="P34" s="5"/>
      <c r="Q34" s="4"/>
      <c r="R34" s="4"/>
      <c r="S34" s="8"/>
      <c r="T34" s="16"/>
    </row>
    <row r="35" spans="3:20" ht="15">
      <c r="C35" s="16"/>
      <c r="E35" t="s">
        <v>23</v>
      </c>
      <c r="G35" s="12">
        <f>I35</f>
        <v>0.03</v>
      </c>
      <c r="H35" s="9"/>
      <c r="I35" s="13">
        <v>0.03</v>
      </c>
      <c r="J35" s="6"/>
      <c r="K35" s="14" t="s">
        <v>24</v>
      </c>
      <c r="L35" s="4"/>
      <c r="M35" s="14" t="s">
        <v>24</v>
      </c>
      <c r="N35" s="4"/>
      <c r="O35" s="14" t="s">
        <v>24</v>
      </c>
      <c r="P35" s="4"/>
      <c r="Q35" s="14" t="s">
        <v>24</v>
      </c>
      <c r="R35" s="4"/>
      <c r="S35" s="14" t="s">
        <v>24</v>
      </c>
      <c r="T35" s="16"/>
    </row>
    <row r="36" spans="3:20" ht="4.5" customHeight="1">
      <c r="C36" s="16"/>
      <c r="T36" s="16"/>
    </row>
    <row r="37" spans="3:20" ht="15">
      <c r="C37" s="16"/>
      <c r="T37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5:R7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3" max="3" width="17.28125" style="0" customWidth="1"/>
  </cols>
  <sheetData>
    <row r="5" spans="8:18" ht="15">
      <c r="H5" s="54" t="s">
        <v>25</v>
      </c>
      <c r="I5" s="54"/>
      <c r="J5" s="17"/>
      <c r="K5" s="54" t="s">
        <v>26</v>
      </c>
      <c r="L5" s="54"/>
      <c r="M5" s="17"/>
      <c r="N5" s="55" t="s">
        <v>27</v>
      </c>
      <c r="O5" s="56"/>
      <c r="P5" s="17"/>
      <c r="Q5" s="54" t="s">
        <v>28</v>
      </c>
      <c r="R5" s="54"/>
    </row>
    <row r="6" spans="8:18" ht="15">
      <c r="H6" s="18" t="s">
        <v>29</v>
      </c>
      <c r="I6" s="18" t="s">
        <v>30</v>
      </c>
      <c r="J6" s="17"/>
      <c r="K6" s="18" t="s">
        <v>29</v>
      </c>
      <c r="L6" s="18" t="s">
        <v>30</v>
      </c>
      <c r="M6" s="17"/>
      <c r="N6" s="18" t="s">
        <v>29</v>
      </c>
      <c r="O6" s="18" t="s">
        <v>30</v>
      </c>
      <c r="P6" s="17"/>
      <c r="Q6" s="18" t="s">
        <v>29</v>
      </c>
      <c r="R6" s="18" t="s">
        <v>30</v>
      </c>
    </row>
    <row r="7" spans="8:18" ht="15">
      <c r="H7" s="19">
        <v>40</v>
      </c>
      <c r="I7" s="20">
        <v>0.0001</v>
      </c>
      <c r="J7" s="17"/>
      <c r="K7" s="19">
        <v>40</v>
      </c>
      <c r="L7" s="21">
        <v>0.01</v>
      </c>
      <c r="M7" s="17"/>
      <c r="N7" s="19">
        <v>40</v>
      </c>
      <c r="O7" s="22">
        <v>0.1</v>
      </c>
      <c r="P7" s="17"/>
      <c r="Q7" s="19">
        <v>40</v>
      </c>
      <c r="R7" s="23">
        <v>0.1</v>
      </c>
    </row>
    <row r="8" spans="3:18" ht="15">
      <c r="C8" s="1" t="s">
        <v>0</v>
      </c>
      <c r="D8">
        <v>2</v>
      </c>
      <c r="H8" s="24">
        <v>41</v>
      </c>
      <c r="I8" s="25">
        <v>0.00012</v>
      </c>
      <c r="J8" s="17"/>
      <c r="K8" s="24">
        <v>41</v>
      </c>
      <c r="L8" s="26">
        <v>0.012</v>
      </c>
      <c r="M8" s="17"/>
      <c r="N8" s="24">
        <v>41</v>
      </c>
      <c r="O8" s="27">
        <v>0.11</v>
      </c>
      <c r="P8" s="17"/>
      <c r="Q8" s="24">
        <v>41</v>
      </c>
      <c r="R8" s="28">
        <v>0.1</v>
      </c>
    </row>
    <row r="9" spans="3:18" ht="15">
      <c r="C9" t="s">
        <v>1</v>
      </c>
      <c r="H9" s="24">
        <v>42</v>
      </c>
      <c r="I9" s="25">
        <v>0.00014</v>
      </c>
      <c r="J9" s="17"/>
      <c r="K9" s="24">
        <v>42</v>
      </c>
      <c r="L9" s="26">
        <v>0.014</v>
      </c>
      <c r="M9" s="17"/>
      <c r="N9" s="24">
        <v>42</v>
      </c>
      <c r="O9" s="27">
        <v>0.12</v>
      </c>
      <c r="P9" s="17"/>
      <c r="Q9" s="24">
        <v>42</v>
      </c>
      <c r="R9" s="28">
        <v>0.1</v>
      </c>
    </row>
    <row r="10" spans="3:18" ht="15">
      <c r="C10" t="s">
        <v>2</v>
      </c>
      <c r="H10" s="24">
        <v>43</v>
      </c>
      <c r="I10" s="25">
        <v>0.00016</v>
      </c>
      <c r="J10" s="17"/>
      <c r="K10" s="24">
        <v>43</v>
      </c>
      <c r="L10" s="26">
        <v>0.016</v>
      </c>
      <c r="M10" s="17"/>
      <c r="N10" s="24">
        <v>43</v>
      </c>
      <c r="O10" s="27">
        <v>0.13</v>
      </c>
      <c r="P10" s="17"/>
      <c r="Q10" s="24">
        <v>43</v>
      </c>
      <c r="R10" s="28">
        <v>0.1</v>
      </c>
    </row>
    <row r="11" spans="8:18" ht="15">
      <c r="H11" s="24">
        <v>44</v>
      </c>
      <c r="I11" s="25">
        <v>0.00018</v>
      </c>
      <c r="J11" s="17"/>
      <c r="K11" s="24">
        <v>44</v>
      </c>
      <c r="L11" s="26">
        <v>0.018</v>
      </c>
      <c r="M11" s="17"/>
      <c r="N11" s="24">
        <v>44</v>
      </c>
      <c r="O11" s="27">
        <v>0.14</v>
      </c>
      <c r="P11" s="17"/>
      <c r="Q11" s="24">
        <v>44</v>
      </c>
      <c r="R11" s="28">
        <v>0.1</v>
      </c>
    </row>
    <row r="12" spans="3:18" ht="15">
      <c r="C12" s="1" t="s">
        <v>3</v>
      </c>
      <c r="D12">
        <v>1</v>
      </c>
      <c r="E12">
        <f>IF(D12=1,40,60)</f>
        <v>40</v>
      </c>
      <c r="H12" s="24">
        <v>45</v>
      </c>
      <c r="I12" s="25">
        <v>0.0002</v>
      </c>
      <c r="J12" s="17"/>
      <c r="K12" s="24">
        <v>45</v>
      </c>
      <c r="L12" s="26">
        <v>0.02</v>
      </c>
      <c r="M12" s="17"/>
      <c r="N12" s="24">
        <v>45</v>
      </c>
      <c r="O12" s="27">
        <v>0.15</v>
      </c>
      <c r="P12" s="17"/>
      <c r="Q12" s="24">
        <v>45</v>
      </c>
      <c r="R12" s="28">
        <v>0.1</v>
      </c>
    </row>
    <row r="13" spans="3:18" ht="15">
      <c r="C13" s="2" t="s">
        <v>36</v>
      </c>
      <c r="H13" s="24">
        <v>46</v>
      </c>
      <c r="I13" s="25">
        <v>0.00022</v>
      </c>
      <c r="J13" s="17"/>
      <c r="K13" s="24">
        <v>46</v>
      </c>
      <c r="L13" s="26">
        <v>0.022</v>
      </c>
      <c r="M13" s="17"/>
      <c r="N13" s="24">
        <v>46</v>
      </c>
      <c r="O13" s="27">
        <v>0.16</v>
      </c>
      <c r="P13" s="17"/>
      <c r="Q13" s="24">
        <v>46</v>
      </c>
      <c r="R13" s="28">
        <v>0.2</v>
      </c>
    </row>
    <row r="14" spans="3:18" ht="15">
      <c r="C14" s="2" t="s">
        <v>37</v>
      </c>
      <c r="H14" s="24">
        <v>47</v>
      </c>
      <c r="I14" s="25">
        <v>0.00024</v>
      </c>
      <c r="J14" s="17"/>
      <c r="K14" s="24">
        <v>47</v>
      </c>
      <c r="L14" s="26">
        <v>0.024</v>
      </c>
      <c r="M14" s="17"/>
      <c r="N14" s="24">
        <v>47</v>
      </c>
      <c r="O14" s="27">
        <v>0.17</v>
      </c>
      <c r="P14" s="17"/>
      <c r="Q14" s="24">
        <v>47</v>
      </c>
      <c r="R14" s="28">
        <v>0.2</v>
      </c>
    </row>
    <row r="15" spans="8:18" ht="15">
      <c r="H15" s="24">
        <v>48</v>
      </c>
      <c r="I15" s="25">
        <v>0.00026</v>
      </c>
      <c r="J15" s="17"/>
      <c r="K15" s="24">
        <v>48</v>
      </c>
      <c r="L15" s="26">
        <v>0.026</v>
      </c>
      <c r="M15" s="17"/>
      <c r="N15" s="24">
        <v>48</v>
      </c>
      <c r="O15" s="27">
        <v>0.18</v>
      </c>
      <c r="P15" s="17"/>
      <c r="Q15" s="24">
        <v>48</v>
      </c>
      <c r="R15" s="28">
        <v>0.2</v>
      </c>
    </row>
    <row r="16" spans="3:18" ht="15">
      <c r="C16" s="1" t="s">
        <v>4</v>
      </c>
      <c r="D16">
        <v>3</v>
      </c>
      <c r="H16" s="24">
        <v>49</v>
      </c>
      <c r="I16" s="25">
        <v>0.00028</v>
      </c>
      <c r="J16" s="17"/>
      <c r="K16" s="24">
        <v>49</v>
      </c>
      <c r="L16" s="26">
        <v>0.028</v>
      </c>
      <c r="M16" s="17"/>
      <c r="N16" s="24">
        <v>49</v>
      </c>
      <c r="O16" s="27">
        <v>0.19</v>
      </c>
      <c r="P16" s="17"/>
      <c r="Q16" s="24">
        <v>49</v>
      </c>
      <c r="R16" s="28">
        <v>0.2</v>
      </c>
    </row>
    <row r="17" spans="3:18" ht="15">
      <c r="C17" t="s">
        <v>5</v>
      </c>
      <c r="H17" s="24">
        <v>50</v>
      </c>
      <c r="I17" s="25">
        <v>0.0003</v>
      </c>
      <c r="J17" s="17"/>
      <c r="K17" s="24">
        <v>50</v>
      </c>
      <c r="L17" s="26">
        <v>0.03</v>
      </c>
      <c r="M17" s="17"/>
      <c r="N17" s="24">
        <v>50</v>
      </c>
      <c r="O17" s="27">
        <v>0.2</v>
      </c>
      <c r="P17" s="17"/>
      <c r="Q17" s="24">
        <v>50</v>
      </c>
      <c r="R17" s="28">
        <v>0.2</v>
      </c>
    </row>
    <row r="18" spans="3:18" ht="15">
      <c r="C18" t="s">
        <v>6</v>
      </c>
      <c r="H18" s="24">
        <v>51</v>
      </c>
      <c r="I18" s="25">
        <v>0.00032</v>
      </c>
      <c r="J18" s="17"/>
      <c r="K18" s="24">
        <v>51</v>
      </c>
      <c r="L18" s="26">
        <v>0.032</v>
      </c>
      <c r="M18" s="17"/>
      <c r="N18" s="24">
        <v>51</v>
      </c>
      <c r="O18" s="27">
        <v>0.21</v>
      </c>
      <c r="P18" s="17"/>
      <c r="Q18" s="24">
        <v>51</v>
      </c>
      <c r="R18" s="28">
        <v>0.2</v>
      </c>
    </row>
    <row r="19" spans="3:18" ht="15">
      <c r="C19" t="s">
        <v>7</v>
      </c>
      <c r="H19" s="24">
        <v>52</v>
      </c>
      <c r="I19" s="25">
        <v>0.00034</v>
      </c>
      <c r="J19" s="17"/>
      <c r="K19" s="24">
        <v>52</v>
      </c>
      <c r="L19" s="26">
        <v>0.034</v>
      </c>
      <c r="M19" s="17"/>
      <c r="N19" s="24">
        <v>52</v>
      </c>
      <c r="O19" s="27">
        <v>0.22</v>
      </c>
      <c r="P19" s="17"/>
      <c r="Q19" s="24">
        <v>52</v>
      </c>
      <c r="R19" s="28">
        <v>0.2</v>
      </c>
    </row>
    <row r="20" spans="8:18" ht="15">
      <c r="H20" s="24">
        <v>53</v>
      </c>
      <c r="I20" s="25">
        <v>0.00036</v>
      </c>
      <c r="J20" s="17"/>
      <c r="K20" s="24">
        <v>53</v>
      </c>
      <c r="L20" s="26">
        <v>0.036</v>
      </c>
      <c r="M20" s="17"/>
      <c r="N20" s="24">
        <v>53</v>
      </c>
      <c r="O20" s="27">
        <v>0.23</v>
      </c>
      <c r="P20" s="17"/>
      <c r="Q20" s="24">
        <v>53</v>
      </c>
      <c r="R20" s="28">
        <v>0.2</v>
      </c>
    </row>
    <row r="21" spans="3:18" ht="15">
      <c r="C21" s="1" t="s">
        <v>8</v>
      </c>
      <c r="D21">
        <v>1</v>
      </c>
      <c r="H21" s="24">
        <v>54</v>
      </c>
      <c r="I21" s="25">
        <v>0.00038</v>
      </c>
      <c r="J21" s="17"/>
      <c r="K21" s="24">
        <v>54</v>
      </c>
      <c r="L21" s="26">
        <v>0.038</v>
      </c>
      <c r="M21" s="17"/>
      <c r="N21" s="24">
        <v>54</v>
      </c>
      <c r="O21" s="27">
        <v>0.24</v>
      </c>
      <c r="P21" s="17"/>
      <c r="Q21" s="24">
        <v>54</v>
      </c>
      <c r="R21" s="28">
        <v>0.2</v>
      </c>
    </row>
    <row r="22" spans="3:18" ht="15">
      <c r="C22" t="s">
        <v>9</v>
      </c>
      <c r="H22" s="24">
        <v>55</v>
      </c>
      <c r="I22" s="25">
        <v>0.0004</v>
      </c>
      <c r="J22" s="17"/>
      <c r="K22" s="24">
        <v>55</v>
      </c>
      <c r="L22" s="26">
        <v>0.04</v>
      </c>
      <c r="M22" s="17"/>
      <c r="N22" s="24">
        <v>55</v>
      </c>
      <c r="O22" s="27">
        <v>0.25</v>
      </c>
      <c r="P22" s="17"/>
      <c r="Q22" s="24">
        <v>55</v>
      </c>
      <c r="R22" s="28">
        <v>0.2</v>
      </c>
    </row>
    <row r="23" spans="3:18" ht="15">
      <c r="C23" t="s">
        <v>10</v>
      </c>
      <c r="H23" s="24">
        <v>56</v>
      </c>
      <c r="I23" s="25">
        <v>0.00042</v>
      </c>
      <c r="J23" s="17"/>
      <c r="K23" s="24">
        <v>56</v>
      </c>
      <c r="L23" s="26">
        <v>0.042</v>
      </c>
      <c r="M23" s="17"/>
      <c r="N23" s="24">
        <v>56</v>
      </c>
      <c r="O23" s="27">
        <v>0.26</v>
      </c>
      <c r="P23" s="17"/>
      <c r="Q23" s="24">
        <v>56</v>
      </c>
      <c r="R23" s="28">
        <v>0.3</v>
      </c>
    </row>
    <row r="24" spans="8:18" ht="15">
      <c r="H24" s="24">
        <v>57</v>
      </c>
      <c r="I24" s="25">
        <v>0.00044</v>
      </c>
      <c r="J24" s="17"/>
      <c r="K24" s="24">
        <v>57</v>
      </c>
      <c r="L24" s="26">
        <v>0.044</v>
      </c>
      <c r="M24" s="17"/>
      <c r="N24" s="24">
        <v>57</v>
      </c>
      <c r="O24" s="27">
        <v>0.27</v>
      </c>
      <c r="P24" s="17"/>
      <c r="Q24" s="24">
        <v>57</v>
      </c>
      <c r="R24" s="28">
        <v>0.3</v>
      </c>
    </row>
    <row r="25" spans="8:18" ht="15">
      <c r="H25" s="24">
        <v>58</v>
      </c>
      <c r="I25" s="25">
        <v>0.00046</v>
      </c>
      <c r="J25" s="17"/>
      <c r="K25" s="24">
        <v>58</v>
      </c>
      <c r="L25" s="26">
        <v>0.046</v>
      </c>
      <c r="M25" s="17"/>
      <c r="N25" s="24">
        <v>58</v>
      </c>
      <c r="O25" s="27">
        <v>0.28</v>
      </c>
      <c r="P25" s="17"/>
      <c r="Q25" s="24">
        <v>58</v>
      </c>
      <c r="R25" s="28">
        <v>0.3</v>
      </c>
    </row>
    <row r="26" spans="8:18" ht="15">
      <c r="H26" s="24">
        <v>59</v>
      </c>
      <c r="I26" s="25">
        <v>0.00048</v>
      </c>
      <c r="J26" s="17"/>
      <c r="K26" s="24">
        <v>59</v>
      </c>
      <c r="L26" s="26">
        <v>0.048</v>
      </c>
      <c r="M26" s="17"/>
      <c r="N26" s="24">
        <v>59</v>
      </c>
      <c r="O26" s="27">
        <v>0.29</v>
      </c>
      <c r="P26" s="17"/>
      <c r="Q26" s="24">
        <v>59</v>
      </c>
      <c r="R26" s="28">
        <v>0.3</v>
      </c>
    </row>
    <row r="27" spans="8:18" ht="15">
      <c r="H27" s="24">
        <v>60</v>
      </c>
      <c r="I27" s="25">
        <v>0.01</v>
      </c>
      <c r="J27" s="17"/>
      <c r="K27" s="24">
        <v>60</v>
      </c>
      <c r="L27" s="26">
        <v>0.05</v>
      </c>
      <c r="M27" s="17"/>
      <c r="N27" s="24">
        <v>60</v>
      </c>
      <c r="O27" s="27">
        <v>0.3</v>
      </c>
      <c r="P27" s="17"/>
      <c r="Q27" s="24">
        <v>60</v>
      </c>
      <c r="R27" s="28">
        <v>0.8</v>
      </c>
    </row>
    <row r="28" spans="8:18" ht="15">
      <c r="H28" s="24">
        <v>61</v>
      </c>
      <c r="I28" s="25">
        <v>0.015</v>
      </c>
      <c r="J28" s="17"/>
      <c r="K28" s="24">
        <v>61</v>
      </c>
      <c r="L28" s="26">
        <v>0.055</v>
      </c>
      <c r="M28" s="17"/>
      <c r="N28" s="24">
        <v>61</v>
      </c>
      <c r="O28" s="27">
        <v>0.31</v>
      </c>
      <c r="P28" s="17"/>
      <c r="Q28" s="24">
        <v>61</v>
      </c>
      <c r="R28" s="28">
        <v>0.8</v>
      </c>
    </row>
    <row r="29" spans="8:18" ht="15">
      <c r="H29" s="24">
        <v>62</v>
      </c>
      <c r="I29" s="25">
        <v>0.02</v>
      </c>
      <c r="J29" s="17"/>
      <c r="K29" s="24">
        <v>62</v>
      </c>
      <c r="L29" s="26">
        <v>0.06</v>
      </c>
      <c r="M29" s="17"/>
      <c r="N29" s="24">
        <v>62</v>
      </c>
      <c r="O29" s="27">
        <v>0.32</v>
      </c>
      <c r="P29" s="17"/>
      <c r="Q29" s="24">
        <v>62</v>
      </c>
      <c r="R29" s="28">
        <v>0.8</v>
      </c>
    </row>
    <row r="30" spans="8:18" ht="15">
      <c r="H30" s="24">
        <v>63</v>
      </c>
      <c r="I30" s="25">
        <v>0.025</v>
      </c>
      <c r="J30" s="17"/>
      <c r="K30" s="24">
        <v>63</v>
      </c>
      <c r="L30" s="26">
        <v>0.065</v>
      </c>
      <c r="M30" s="17"/>
      <c r="N30" s="24">
        <v>63</v>
      </c>
      <c r="O30" s="27">
        <v>0.33</v>
      </c>
      <c r="P30" s="17"/>
      <c r="Q30" s="24">
        <v>63</v>
      </c>
      <c r="R30" s="28">
        <v>0.8</v>
      </c>
    </row>
    <row r="31" spans="8:18" ht="15">
      <c r="H31" s="24">
        <v>64</v>
      </c>
      <c r="I31" s="25">
        <v>0.03</v>
      </c>
      <c r="J31" s="17"/>
      <c r="K31" s="24">
        <v>64</v>
      </c>
      <c r="L31" s="26">
        <v>0.07</v>
      </c>
      <c r="M31" s="17"/>
      <c r="N31" s="24">
        <v>64</v>
      </c>
      <c r="O31" s="27">
        <v>0.34</v>
      </c>
      <c r="P31" s="17"/>
      <c r="Q31" s="24">
        <v>64</v>
      </c>
      <c r="R31" s="28">
        <v>0.8</v>
      </c>
    </row>
    <row r="32" spans="8:18" ht="15">
      <c r="H32" s="24">
        <v>65</v>
      </c>
      <c r="I32" s="25">
        <v>0.035</v>
      </c>
      <c r="J32" s="17"/>
      <c r="K32" s="24">
        <v>65</v>
      </c>
      <c r="L32" s="26">
        <v>0.075</v>
      </c>
      <c r="M32" s="17"/>
      <c r="N32" s="24">
        <v>65</v>
      </c>
      <c r="O32" s="27">
        <v>0.35</v>
      </c>
      <c r="P32" s="17"/>
      <c r="Q32" s="24">
        <v>65</v>
      </c>
      <c r="R32" s="28">
        <v>0.8</v>
      </c>
    </row>
    <row r="33" spans="8:18" ht="15">
      <c r="H33" s="24">
        <v>66</v>
      </c>
      <c r="I33" s="25">
        <v>0.04</v>
      </c>
      <c r="J33" s="17"/>
      <c r="K33" s="24">
        <v>66</v>
      </c>
      <c r="L33" s="26">
        <v>0.08</v>
      </c>
      <c r="M33" s="17"/>
      <c r="N33" s="24">
        <v>66</v>
      </c>
      <c r="O33" s="27">
        <v>0.36</v>
      </c>
      <c r="P33" s="17"/>
      <c r="Q33" s="24">
        <v>66</v>
      </c>
      <c r="R33" s="28">
        <v>0.8</v>
      </c>
    </row>
    <row r="34" spans="8:18" ht="15">
      <c r="H34" s="24">
        <v>67</v>
      </c>
      <c r="I34" s="25">
        <v>0.045</v>
      </c>
      <c r="J34" s="17"/>
      <c r="K34" s="24">
        <v>67</v>
      </c>
      <c r="L34" s="26">
        <v>0.085</v>
      </c>
      <c r="M34" s="17"/>
      <c r="N34" s="24">
        <v>67</v>
      </c>
      <c r="O34" s="27">
        <v>0.37</v>
      </c>
      <c r="P34" s="17"/>
      <c r="Q34" s="24">
        <v>67</v>
      </c>
      <c r="R34" s="28">
        <v>0.8</v>
      </c>
    </row>
    <row r="35" spans="8:18" ht="15">
      <c r="H35" s="24">
        <v>68</v>
      </c>
      <c r="I35" s="25">
        <v>0.05</v>
      </c>
      <c r="J35" s="17"/>
      <c r="K35" s="24">
        <v>68</v>
      </c>
      <c r="L35" s="26">
        <v>0.09</v>
      </c>
      <c r="M35" s="17"/>
      <c r="N35" s="24">
        <v>68</v>
      </c>
      <c r="O35" s="27">
        <v>0.38</v>
      </c>
      <c r="P35" s="17"/>
      <c r="Q35" s="24">
        <v>68</v>
      </c>
      <c r="R35" s="28">
        <v>0.8</v>
      </c>
    </row>
    <row r="36" spans="8:18" ht="15">
      <c r="H36" s="24">
        <v>69</v>
      </c>
      <c r="I36" s="25">
        <v>0.055</v>
      </c>
      <c r="J36" s="17"/>
      <c r="K36" s="24">
        <v>69</v>
      </c>
      <c r="L36" s="26">
        <v>0.095</v>
      </c>
      <c r="M36" s="17"/>
      <c r="N36" s="24">
        <v>69</v>
      </c>
      <c r="O36" s="27">
        <v>0.39</v>
      </c>
      <c r="P36" s="17"/>
      <c r="Q36" s="24">
        <v>69</v>
      </c>
      <c r="R36" s="28">
        <v>0.8</v>
      </c>
    </row>
    <row r="37" spans="8:18" ht="15">
      <c r="H37" s="24">
        <v>70</v>
      </c>
      <c r="I37" s="25">
        <v>0.06</v>
      </c>
      <c r="J37" s="17"/>
      <c r="K37" s="24">
        <v>70</v>
      </c>
      <c r="L37" s="26">
        <v>0.1</v>
      </c>
      <c r="M37" s="17"/>
      <c r="N37" s="24">
        <v>70</v>
      </c>
      <c r="O37" s="27">
        <v>0.4</v>
      </c>
      <c r="P37" s="17"/>
      <c r="Q37" s="24">
        <v>70</v>
      </c>
      <c r="R37" s="28">
        <v>0.8</v>
      </c>
    </row>
    <row r="38" spans="8:18" ht="15">
      <c r="H38" s="24">
        <v>71</v>
      </c>
      <c r="I38" s="25">
        <v>0.065</v>
      </c>
      <c r="J38" s="17"/>
      <c r="K38" s="24">
        <v>71</v>
      </c>
      <c r="L38" s="26">
        <v>0.105</v>
      </c>
      <c r="M38" s="17"/>
      <c r="N38" s="24">
        <v>71</v>
      </c>
      <c r="O38" s="27">
        <v>0.41</v>
      </c>
      <c r="P38" s="17"/>
      <c r="Q38" s="24">
        <v>71</v>
      </c>
      <c r="R38" s="28">
        <v>0.8</v>
      </c>
    </row>
    <row r="39" spans="8:18" ht="15">
      <c r="H39" s="24">
        <v>72</v>
      </c>
      <c r="I39" s="25">
        <v>0.07</v>
      </c>
      <c r="J39" s="17"/>
      <c r="K39" s="24">
        <v>72</v>
      </c>
      <c r="L39" s="26">
        <v>0.11</v>
      </c>
      <c r="M39" s="17"/>
      <c r="N39" s="24">
        <v>72</v>
      </c>
      <c r="O39" s="27">
        <v>0.42</v>
      </c>
      <c r="P39" s="17"/>
      <c r="Q39" s="24">
        <v>72</v>
      </c>
      <c r="R39" s="28">
        <v>0.8</v>
      </c>
    </row>
    <row r="40" spans="8:18" ht="15">
      <c r="H40" s="24">
        <v>73</v>
      </c>
      <c r="I40" s="25">
        <v>0.075</v>
      </c>
      <c r="J40" s="17"/>
      <c r="K40" s="24">
        <v>73</v>
      </c>
      <c r="L40" s="26">
        <v>0.115</v>
      </c>
      <c r="M40" s="17"/>
      <c r="N40" s="24">
        <v>73</v>
      </c>
      <c r="O40" s="27">
        <v>0.43</v>
      </c>
      <c r="P40" s="17"/>
      <c r="Q40" s="24">
        <v>73</v>
      </c>
      <c r="R40" s="28">
        <v>0.8</v>
      </c>
    </row>
    <row r="41" spans="8:18" ht="15">
      <c r="H41" s="24">
        <v>74</v>
      </c>
      <c r="I41" s="25">
        <v>0.08</v>
      </c>
      <c r="J41" s="17"/>
      <c r="K41" s="24">
        <v>74</v>
      </c>
      <c r="L41" s="26">
        <v>0.12</v>
      </c>
      <c r="M41" s="17"/>
      <c r="N41" s="24">
        <v>74</v>
      </c>
      <c r="O41" s="27">
        <v>0.44</v>
      </c>
      <c r="P41" s="17"/>
      <c r="Q41" s="24">
        <v>74</v>
      </c>
      <c r="R41" s="28">
        <v>0.8</v>
      </c>
    </row>
    <row r="42" spans="8:18" ht="15">
      <c r="H42" s="24">
        <v>75</v>
      </c>
      <c r="I42" s="25">
        <v>0.085</v>
      </c>
      <c r="J42" s="17"/>
      <c r="K42" s="24">
        <v>75</v>
      </c>
      <c r="L42" s="26">
        <v>0.125</v>
      </c>
      <c r="M42" s="17"/>
      <c r="N42" s="24">
        <v>75</v>
      </c>
      <c r="O42" s="27">
        <v>0.45</v>
      </c>
      <c r="P42" s="17"/>
      <c r="Q42" s="24">
        <v>75</v>
      </c>
      <c r="R42" s="28">
        <v>0.8</v>
      </c>
    </row>
    <row r="43" spans="8:18" ht="15">
      <c r="H43" s="24">
        <v>76</v>
      </c>
      <c r="I43" s="25">
        <v>0.09</v>
      </c>
      <c r="J43" s="17"/>
      <c r="K43" s="24">
        <v>76</v>
      </c>
      <c r="L43" s="26">
        <v>0.13</v>
      </c>
      <c r="M43" s="17"/>
      <c r="N43" s="24">
        <v>76</v>
      </c>
      <c r="O43" s="27">
        <v>0.46</v>
      </c>
      <c r="P43" s="17"/>
      <c r="Q43" s="24">
        <v>76</v>
      </c>
      <c r="R43" s="28">
        <v>0.8</v>
      </c>
    </row>
    <row r="44" spans="8:18" ht="15">
      <c r="H44" s="24">
        <v>77</v>
      </c>
      <c r="I44" s="25">
        <v>0.095</v>
      </c>
      <c r="J44" s="17"/>
      <c r="K44" s="24">
        <v>77</v>
      </c>
      <c r="L44" s="26">
        <v>0.135</v>
      </c>
      <c r="M44" s="17"/>
      <c r="N44" s="24">
        <v>77</v>
      </c>
      <c r="O44" s="27">
        <v>0.47</v>
      </c>
      <c r="P44" s="17"/>
      <c r="Q44" s="24">
        <v>77</v>
      </c>
      <c r="R44" s="28">
        <v>0.8</v>
      </c>
    </row>
    <row r="45" spans="8:18" ht="15">
      <c r="H45" s="24">
        <v>78</v>
      </c>
      <c r="I45" s="25">
        <v>0.1</v>
      </c>
      <c r="J45" s="17"/>
      <c r="K45" s="24">
        <v>78</v>
      </c>
      <c r="L45" s="26">
        <v>0.14</v>
      </c>
      <c r="M45" s="17"/>
      <c r="N45" s="24">
        <v>78</v>
      </c>
      <c r="O45" s="27">
        <v>0.48</v>
      </c>
      <c r="P45" s="17"/>
      <c r="Q45" s="24">
        <v>78</v>
      </c>
      <c r="R45" s="28">
        <v>0.8</v>
      </c>
    </row>
    <row r="46" spans="8:18" ht="15">
      <c r="H46" s="24">
        <v>79</v>
      </c>
      <c r="I46" s="25">
        <v>0.105</v>
      </c>
      <c r="J46" s="17"/>
      <c r="K46" s="24">
        <v>79</v>
      </c>
      <c r="L46" s="26">
        <v>0.145</v>
      </c>
      <c r="M46" s="17"/>
      <c r="N46" s="24">
        <v>79</v>
      </c>
      <c r="O46" s="27">
        <v>0.49</v>
      </c>
      <c r="P46" s="17"/>
      <c r="Q46" s="24">
        <v>79</v>
      </c>
      <c r="R46" s="28">
        <v>0.8</v>
      </c>
    </row>
    <row r="47" spans="8:18" ht="15">
      <c r="H47" s="24">
        <v>80</v>
      </c>
      <c r="I47" s="25">
        <v>0.11</v>
      </c>
      <c r="J47" s="17"/>
      <c r="K47" s="24">
        <v>80</v>
      </c>
      <c r="L47" s="26">
        <v>0.15</v>
      </c>
      <c r="M47" s="17"/>
      <c r="N47" s="24">
        <v>80</v>
      </c>
      <c r="O47" s="27">
        <v>0.5</v>
      </c>
      <c r="P47" s="17"/>
      <c r="Q47" s="24">
        <v>80</v>
      </c>
      <c r="R47" s="28">
        <v>0.9</v>
      </c>
    </row>
    <row r="48" spans="8:18" ht="15">
      <c r="H48" s="24">
        <v>81</v>
      </c>
      <c r="I48" s="25">
        <v>0.115</v>
      </c>
      <c r="J48" s="17"/>
      <c r="K48" s="24">
        <v>81</v>
      </c>
      <c r="L48" s="26">
        <v>0.155</v>
      </c>
      <c r="M48" s="17"/>
      <c r="N48" s="24">
        <v>81</v>
      </c>
      <c r="O48" s="27">
        <v>0.51</v>
      </c>
      <c r="P48" s="17"/>
      <c r="Q48" s="24">
        <v>81</v>
      </c>
      <c r="R48" s="28">
        <v>0.9</v>
      </c>
    </row>
    <row r="49" spans="8:18" ht="15">
      <c r="H49" s="24">
        <v>82</v>
      </c>
      <c r="I49" s="25">
        <v>0.12</v>
      </c>
      <c r="J49" s="17"/>
      <c r="K49" s="24">
        <v>82</v>
      </c>
      <c r="L49" s="26">
        <v>0.16</v>
      </c>
      <c r="M49" s="17"/>
      <c r="N49" s="24">
        <v>82</v>
      </c>
      <c r="O49" s="27">
        <v>0.52</v>
      </c>
      <c r="P49" s="17"/>
      <c r="Q49" s="24">
        <v>82</v>
      </c>
      <c r="R49" s="28">
        <v>0.9</v>
      </c>
    </row>
    <row r="50" spans="8:18" ht="15">
      <c r="H50" s="24">
        <v>83</v>
      </c>
      <c r="I50" s="25">
        <v>0.125</v>
      </c>
      <c r="J50" s="17"/>
      <c r="K50" s="24">
        <v>83</v>
      </c>
      <c r="L50" s="26">
        <v>0.165</v>
      </c>
      <c r="M50" s="17"/>
      <c r="N50" s="24">
        <v>83</v>
      </c>
      <c r="O50" s="27">
        <v>0.53</v>
      </c>
      <c r="P50" s="17"/>
      <c r="Q50" s="24">
        <v>83</v>
      </c>
      <c r="R50" s="28">
        <v>0.9</v>
      </c>
    </row>
    <row r="51" spans="8:18" ht="15">
      <c r="H51" s="24">
        <v>84</v>
      </c>
      <c r="I51" s="25">
        <v>0.13</v>
      </c>
      <c r="J51" s="17"/>
      <c r="K51" s="24">
        <v>84</v>
      </c>
      <c r="L51" s="26">
        <v>0.17</v>
      </c>
      <c r="M51" s="17"/>
      <c r="N51" s="24">
        <v>84</v>
      </c>
      <c r="O51" s="27">
        <v>0.54</v>
      </c>
      <c r="P51" s="17"/>
      <c r="Q51" s="24">
        <v>84</v>
      </c>
      <c r="R51" s="28">
        <v>0.9</v>
      </c>
    </row>
    <row r="52" spans="8:18" ht="15">
      <c r="H52" s="24">
        <v>85</v>
      </c>
      <c r="I52" s="25">
        <v>0.135</v>
      </c>
      <c r="J52" s="17"/>
      <c r="K52" s="24">
        <v>85</v>
      </c>
      <c r="L52" s="26">
        <v>0.175</v>
      </c>
      <c r="M52" s="17"/>
      <c r="N52" s="24">
        <v>85</v>
      </c>
      <c r="O52" s="27">
        <v>0.55</v>
      </c>
      <c r="P52" s="17"/>
      <c r="Q52" s="24">
        <v>85</v>
      </c>
      <c r="R52" s="28">
        <v>0.9</v>
      </c>
    </row>
    <row r="53" spans="8:18" ht="15">
      <c r="H53" s="24">
        <v>86</v>
      </c>
      <c r="I53" s="25">
        <v>0.14</v>
      </c>
      <c r="J53" s="17"/>
      <c r="K53" s="24">
        <v>86</v>
      </c>
      <c r="L53" s="26">
        <v>0.18</v>
      </c>
      <c r="M53" s="17"/>
      <c r="N53" s="24">
        <v>86</v>
      </c>
      <c r="O53" s="27">
        <v>0.56</v>
      </c>
      <c r="P53" s="17"/>
      <c r="Q53" s="24">
        <v>86</v>
      </c>
      <c r="R53" s="28">
        <v>0.9</v>
      </c>
    </row>
    <row r="54" spans="8:18" ht="15">
      <c r="H54" s="24">
        <v>87</v>
      </c>
      <c r="I54" s="25">
        <v>0.145</v>
      </c>
      <c r="J54" s="17"/>
      <c r="K54" s="24">
        <v>87</v>
      </c>
      <c r="L54" s="26">
        <v>0.185</v>
      </c>
      <c r="M54" s="17"/>
      <c r="N54" s="24">
        <v>87</v>
      </c>
      <c r="O54" s="27">
        <v>0.57</v>
      </c>
      <c r="P54" s="17"/>
      <c r="Q54" s="24">
        <v>87</v>
      </c>
      <c r="R54" s="28">
        <v>0.9</v>
      </c>
    </row>
    <row r="55" spans="8:18" ht="15">
      <c r="H55" s="24">
        <v>88</v>
      </c>
      <c r="I55" s="25">
        <v>0.15</v>
      </c>
      <c r="J55" s="17"/>
      <c r="K55" s="24">
        <v>88</v>
      </c>
      <c r="L55" s="26">
        <v>0.19</v>
      </c>
      <c r="M55" s="17"/>
      <c r="N55" s="24">
        <v>88</v>
      </c>
      <c r="O55" s="27">
        <v>0.58</v>
      </c>
      <c r="P55" s="17"/>
      <c r="Q55" s="24">
        <v>88</v>
      </c>
      <c r="R55" s="28">
        <v>0.9</v>
      </c>
    </row>
    <row r="56" spans="8:18" ht="15">
      <c r="H56" s="24">
        <v>89</v>
      </c>
      <c r="I56" s="25">
        <v>0.155</v>
      </c>
      <c r="J56" s="17"/>
      <c r="K56" s="24">
        <v>89</v>
      </c>
      <c r="L56" s="26">
        <v>0.195</v>
      </c>
      <c r="M56" s="17"/>
      <c r="N56" s="24">
        <v>89</v>
      </c>
      <c r="O56" s="27">
        <v>0.59</v>
      </c>
      <c r="P56" s="17"/>
      <c r="Q56" s="24">
        <v>89</v>
      </c>
      <c r="R56" s="28">
        <v>0.9</v>
      </c>
    </row>
    <row r="57" spans="8:18" ht="15">
      <c r="H57" s="24">
        <v>90</v>
      </c>
      <c r="I57" s="25">
        <v>0.16</v>
      </c>
      <c r="J57" s="17"/>
      <c r="K57" s="24">
        <v>90</v>
      </c>
      <c r="L57" s="26">
        <v>0.2</v>
      </c>
      <c r="M57" s="17"/>
      <c r="N57" s="24">
        <v>90</v>
      </c>
      <c r="O57" s="27">
        <v>0.6</v>
      </c>
      <c r="P57" s="17"/>
      <c r="Q57" s="24">
        <v>90</v>
      </c>
      <c r="R57" s="28">
        <v>0.9</v>
      </c>
    </row>
    <row r="58" spans="8:18" ht="15">
      <c r="H58" s="24">
        <v>91</v>
      </c>
      <c r="I58" s="25">
        <v>0.165</v>
      </c>
      <c r="J58" s="17"/>
      <c r="K58" s="24">
        <v>91</v>
      </c>
      <c r="L58" s="26">
        <v>0.205</v>
      </c>
      <c r="M58" s="17"/>
      <c r="N58" s="24">
        <v>91</v>
      </c>
      <c r="O58" s="27">
        <v>0.61</v>
      </c>
      <c r="P58" s="17"/>
      <c r="Q58" s="24">
        <v>91</v>
      </c>
      <c r="R58" s="28">
        <v>0.9</v>
      </c>
    </row>
    <row r="59" spans="8:18" ht="15">
      <c r="H59" s="24">
        <v>92</v>
      </c>
      <c r="I59" s="25">
        <v>0.17</v>
      </c>
      <c r="J59" s="17"/>
      <c r="K59" s="24">
        <v>92</v>
      </c>
      <c r="L59" s="26">
        <v>0.21</v>
      </c>
      <c r="M59" s="17"/>
      <c r="N59" s="24">
        <v>92</v>
      </c>
      <c r="O59" s="27">
        <v>0.62</v>
      </c>
      <c r="P59" s="17"/>
      <c r="Q59" s="24">
        <v>92</v>
      </c>
      <c r="R59" s="28">
        <v>0.9</v>
      </c>
    </row>
    <row r="60" spans="8:18" ht="15">
      <c r="H60" s="24">
        <v>93</v>
      </c>
      <c r="I60" s="25">
        <v>0.175</v>
      </c>
      <c r="J60" s="17"/>
      <c r="K60" s="24">
        <v>93</v>
      </c>
      <c r="L60" s="26">
        <v>0.215</v>
      </c>
      <c r="M60" s="17"/>
      <c r="N60" s="24">
        <v>93</v>
      </c>
      <c r="O60" s="27">
        <v>0.63</v>
      </c>
      <c r="P60" s="17"/>
      <c r="Q60" s="24">
        <v>93</v>
      </c>
      <c r="R60" s="28">
        <v>0.9</v>
      </c>
    </row>
    <row r="61" spans="8:18" ht="15">
      <c r="H61" s="24">
        <v>94</v>
      </c>
      <c r="I61" s="25">
        <v>0.18</v>
      </c>
      <c r="J61" s="17"/>
      <c r="K61" s="24">
        <v>94</v>
      </c>
      <c r="L61" s="26">
        <v>0.22</v>
      </c>
      <c r="M61" s="17"/>
      <c r="N61" s="24">
        <v>94</v>
      </c>
      <c r="O61" s="27">
        <v>0.64</v>
      </c>
      <c r="P61" s="17"/>
      <c r="Q61" s="24">
        <v>94</v>
      </c>
      <c r="R61" s="28">
        <v>0.9</v>
      </c>
    </row>
    <row r="62" spans="8:18" ht="15">
      <c r="H62" s="24">
        <v>95</v>
      </c>
      <c r="I62" s="25">
        <v>0.185</v>
      </c>
      <c r="J62" s="17"/>
      <c r="K62" s="24">
        <v>95</v>
      </c>
      <c r="L62" s="26">
        <v>0.225</v>
      </c>
      <c r="M62" s="17"/>
      <c r="N62" s="24">
        <v>95</v>
      </c>
      <c r="O62" s="27">
        <v>0.65</v>
      </c>
      <c r="P62" s="17"/>
      <c r="Q62" s="24">
        <v>95</v>
      </c>
      <c r="R62" s="28">
        <v>0.9</v>
      </c>
    </row>
    <row r="63" spans="8:18" ht="15">
      <c r="H63" s="24">
        <v>96</v>
      </c>
      <c r="I63" s="25">
        <v>0.19</v>
      </c>
      <c r="J63" s="17"/>
      <c r="K63" s="24">
        <v>96</v>
      </c>
      <c r="L63" s="26">
        <v>0.23</v>
      </c>
      <c r="M63" s="17"/>
      <c r="N63" s="24">
        <v>96</v>
      </c>
      <c r="O63" s="27">
        <v>0.66</v>
      </c>
      <c r="P63" s="17"/>
      <c r="Q63" s="24">
        <v>96</v>
      </c>
      <c r="R63" s="28">
        <v>0.9</v>
      </c>
    </row>
    <row r="64" spans="8:18" ht="15">
      <c r="H64" s="24">
        <v>97</v>
      </c>
      <c r="I64" s="25">
        <v>0.195</v>
      </c>
      <c r="J64" s="17"/>
      <c r="K64" s="24">
        <v>97</v>
      </c>
      <c r="L64" s="26">
        <v>0.235</v>
      </c>
      <c r="M64" s="17"/>
      <c r="N64" s="24">
        <v>97</v>
      </c>
      <c r="O64" s="27">
        <v>0.67</v>
      </c>
      <c r="P64" s="17"/>
      <c r="Q64" s="24">
        <v>97</v>
      </c>
      <c r="R64" s="28">
        <v>0.9</v>
      </c>
    </row>
    <row r="65" spans="8:18" ht="15">
      <c r="H65" s="24">
        <v>98</v>
      </c>
      <c r="I65" s="25">
        <v>0.2</v>
      </c>
      <c r="J65" s="17"/>
      <c r="K65" s="24">
        <v>98</v>
      </c>
      <c r="L65" s="26">
        <v>0.24</v>
      </c>
      <c r="M65" s="17"/>
      <c r="N65" s="24">
        <v>98</v>
      </c>
      <c r="O65" s="27">
        <v>0.68</v>
      </c>
      <c r="P65" s="17"/>
      <c r="Q65" s="24">
        <v>98</v>
      </c>
      <c r="R65" s="28">
        <v>0.9</v>
      </c>
    </row>
    <row r="66" spans="8:18" ht="15">
      <c r="H66" s="24">
        <v>99</v>
      </c>
      <c r="I66" s="25">
        <v>0.205</v>
      </c>
      <c r="J66" s="17"/>
      <c r="K66" s="24">
        <v>99</v>
      </c>
      <c r="L66" s="26">
        <v>0.245</v>
      </c>
      <c r="M66" s="17"/>
      <c r="N66" s="24">
        <v>99</v>
      </c>
      <c r="O66" s="27">
        <v>0.69</v>
      </c>
      <c r="P66" s="17"/>
      <c r="Q66" s="24">
        <v>99</v>
      </c>
      <c r="R66" s="28">
        <v>0.9</v>
      </c>
    </row>
    <row r="67" spans="8:18" ht="15">
      <c r="H67" s="24">
        <v>100</v>
      </c>
      <c r="I67" s="25">
        <v>0.21</v>
      </c>
      <c r="J67" s="17"/>
      <c r="K67" s="24">
        <v>100</v>
      </c>
      <c r="L67" s="26">
        <v>0.25</v>
      </c>
      <c r="M67" s="17"/>
      <c r="N67" s="24">
        <v>100</v>
      </c>
      <c r="O67" s="27">
        <v>0.7</v>
      </c>
      <c r="P67" s="17"/>
      <c r="Q67" s="24">
        <v>100</v>
      </c>
      <c r="R67" s="28">
        <v>0.9</v>
      </c>
    </row>
    <row r="68" spans="8:18" ht="15">
      <c r="H68" s="24">
        <v>101</v>
      </c>
      <c r="I68" s="25">
        <v>0.215</v>
      </c>
      <c r="J68" s="17"/>
      <c r="K68" s="24">
        <v>101</v>
      </c>
      <c r="L68" s="26">
        <v>0.255</v>
      </c>
      <c r="M68" s="17"/>
      <c r="N68" s="24">
        <v>101</v>
      </c>
      <c r="O68" s="27">
        <v>0.71</v>
      </c>
      <c r="P68" s="17"/>
      <c r="Q68" s="24">
        <v>101</v>
      </c>
      <c r="R68" s="28">
        <v>0.9</v>
      </c>
    </row>
    <row r="69" spans="8:18" ht="15">
      <c r="H69" s="24">
        <v>102</v>
      </c>
      <c r="I69" s="25">
        <v>0.22</v>
      </c>
      <c r="J69" s="17"/>
      <c r="K69" s="24">
        <v>102</v>
      </c>
      <c r="L69" s="26">
        <v>0.26</v>
      </c>
      <c r="M69" s="17"/>
      <c r="N69" s="24">
        <v>102</v>
      </c>
      <c r="O69" s="27">
        <v>0.72</v>
      </c>
      <c r="P69" s="17"/>
      <c r="Q69" s="24">
        <v>102</v>
      </c>
      <c r="R69" s="28">
        <v>0.9</v>
      </c>
    </row>
    <row r="70" spans="8:18" ht="15">
      <c r="H70" s="24">
        <v>103</v>
      </c>
      <c r="I70" s="25">
        <v>0.225</v>
      </c>
      <c r="J70" s="17"/>
      <c r="K70" s="24">
        <v>103</v>
      </c>
      <c r="L70" s="26">
        <v>0.265</v>
      </c>
      <c r="M70" s="17"/>
      <c r="N70" s="24">
        <v>103</v>
      </c>
      <c r="O70" s="27">
        <v>0.73</v>
      </c>
      <c r="P70" s="17"/>
      <c r="Q70" s="24">
        <v>103</v>
      </c>
      <c r="R70" s="28">
        <v>0.9</v>
      </c>
    </row>
    <row r="71" spans="8:18" ht="15">
      <c r="H71" s="24">
        <v>104</v>
      </c>
      <c r="I71" s="25">
        <v>0.23</v>
      </c>
      <c r="J71" s="17"/>
      <c r="K71" s="24">
        <v>104</v>
      </c>
      <c r="L71" s="26">
        <v>0.27</v>
      </c>
      <c r="M71" s="17"/>
      <c r="N71" s="24">
        <v>104</v>
      </c>
      <c r="O71" s="27">
        <v>0.74</v>
      </c>
      <c r="P71" s="17"/>
      <c r="Q71" s="24">
        <v>104</v>
      </c>
      <c r="R71" s="28">
        <v>0.9</v>
      </c>
    </row>
    <row r="72" spans="8:18" ht="15">
      <c r="H72" s="24">
        <v>105</v>
      </c>
      <c r="I72" s="25">
        <v>0.235</v>
      </c>
      <c r="J72" s="17"/>
      <c r="K72" s="24">
        <v>105</v>
      </c>
      <c r="L72" s="26">
        <v>0.275</v>
      </c>
      <c r="M72" s="17"/>
      <c r="N72" s="24">
        <v>105</v>
      </c>
      <c r="O72" s="27">
        <v>0.75</v>
      </c>
      <c r="P72" s="17"/>
      <c r="Q72" s="24">
        <v>105</v>
      </c>
      <c r="R72" s="28">
        <v>0.9</v>
      </c>
    </row>
    <row r="73" spans="8:18" ht="15">
      <c r="H73" s="24">
        <v>106</v>
      </c>
      <c r="I73" s="25">
        <v>0.24</v>
      </c>
      <c r="J73" s="17"/>
      <c r="K73" s="24">
        <v>106</v>
      </c>
      <c r="L73" s="26">
        <v>0.28</v>
      </c>
      <c r="M73" s="17"/>
      <c r="N73" s="24">
        <v>106</v>
      </c>
      <c r="O73" s="27">
        <v>0.76</v>
      </c>
      <c r="P73" s="17"/>
      <c r="Q73" s="24">
        <v>106</v>
      </c>
      <c r="R73" s="28">
        <v>0.9</v>
      </c>
    </row>
    <row r="74" spans="8:18" ht="15">
      <c r="H74" s="24">
        <v>107</v>
      </c>
      <c r="I74" s="25">
        <v>0.245</v>
      </c>
      <c r="J74" s="17"/>
      <c r="K74" s="24">
        <v>107</v>
      </c>
      <c r="L74" s="26">
        <v>0.285</v>
      </c>
      <c r="M74" s="17"/>
      <c r="N74" s="24">
        <v>107</v>
      </c>
      <c r="O74" s="27">
        <v>0.77</v>
      </c>
      <c r="P74" s="17"/>
      <c r="Q74" s="24">
        <v>107</v>
      </c>
      <c r="R74" s="28">
        <v>0.9</v>
      </c>
    </row>
    <row r="75" spans="8:18" ht="15">
      <c r="H75" s="24">
        <v>108</v>
      </c>
      <c r="I75" s="25">
        <v>0.25</v>
      </c>
      <c r="J75" s="17"/>
      <c r="K75" s="24">
        <v>108</v>
      </c>
      <c r="L75" s="26">
        <v>0.29</v>
      </c>
      <c r="M75" s="17"/>
      <c r="N75" s="24">
        <v>108</v>
      </c>
      <c r="O75" s="27">
        <v>0.78</v>
      </c>
      <c r="P75" s="17"/>
      <c r="Q75" s="24">
        <v>108</v>
      </c>
      <c r="R75" s="28">
        <v>0.9</v>
      </c>
    </row>
    <row r="76" spans="8:18" ht="15">
      <c r="H76" s="24">
        <v>109</v>
      </c>
      <c r="I76" s="25">
        <v>0.255</v>
      </c>
      <c r="J76" s="17"/>
      <c r="K76" s="24">
        <v>109</v>
      </c>
      <c r="L76" s="26">
        <v>0.295</v>
      </c>
      <c r="M76" s="17"/>
      <c r="N76" s="24">
        <v>109</v>
      </c>
      <c r="O76" s="27">
        <v>0.79</v>
      </c>
      <c r="P76" s="17"/>
      <c r="Q76" s="24">
        <v>109</v>
      </c>
      <c r="R76" s="28">
        <v>0.9</v>
      </c>
    </row>
    <row r="77" spans="8:18" ht="15">
      <c r="H77" s="29">
        <v>110</v>
      </c>
      <c r="I77" s="30">
        <v>0.26</v>
      </c>
      <c r="J77" s="17"/>
      <c r="K77" s="29">
        <v>110</v>
      </c>
      <c r="L77" s="31">
        <v>0.3</v>
      </c>
      <c r="M77" s="17"/>
      <c r="N77" s="29">
        <v>110</v>
      </c>
      <c r="O77" s="32">
        <v>0.8</v>
      </c>
      <c r="P77" s="17"/>
      <c r="Q77" s="29">
        <v>110</v>
      </c>
      <c r="R77" s="33">
        <v>0.9</v>
      </c>
    </row>
  </sheetData>
  <sheetProtection/>
  <mergeCells count="4">
    <mergeCell ref="H5:I5"/>
    <mergeCell ref="K5:L5"/>
    <mergeCell ref="N5:O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6:AZ112"/>
  <sheetViews>
    <sheetView showGridLines="0" zoomScalePageLayoutView="0" workbookViewId="0" topLeftCell="Q1">
      <pane ySplit="9" topLeftCell="A10" activePane="bottomLeft" state="frozen"/>
      <selection pane="topLeft" activeCell="A1" sqref="A1"/>
      <selection pane="bottomLeft" activeCell="AY8" sqref="AY8"/>
    </sheetView>
  </sheetViews>
  <sheetFormatPr defaultColWidth="9.140625" defaultRowHeight="15"/>
  <cols>
    <col min="1" max="2" width="2.8515625" style="0" customWidth="1"/>
    <col min="4" max="4" width="2.8515625" style="0" customWidth="1"/>
    <col min="6" max="6" width="3.00390625" style="0" customWidth="1"/>
    <col min="7" max="7" width="1.7109375" style="0" customWidth="1"/>
    <col min="8" max="8" width="2.57421875" style="0" customWidth="1"/>
    <col min="9" max="9" width="9.00390625" style="0" customWidth="1"/>
    <col min="10" max="10" width="3.00390625" style="0" customWidth="1"/>
    <col min="11" max="11" width="8.140625" style="0" customWidth="1"/>
    <col min="12" max="12" width="2.8515625" style="0" customWidth="1"/>
    <col min="13" max="13" width="10.7109375" style="0" customWidth="1"/>
    <col min="14" max="14" width="3.28125" style="0" customWidth="1"/>
    <col min="15" max="15" width="11.00390625" style="0" customWidth="1"/>
    <col min="16" max="16" width="2.7109375" style="0" customWidth="1"/>
    <col min="17" max="17" width="1.57421875" style="0" customWidth="1"/>
    <col min="18" max="18" width="2.8515625" style="0" customWidth="1"/>
    <col min="19" max="19" width="7.8515625" style="0" customWidth="1"/>
    <col min="20" max="20" width="3.00390625" style="0" customWidth="1"/>
    <col min="21" max="21" width="7.57421875" style="0" customWidth="1"/>
    <col min="22" max="22" width="3.421875" style="0" customWidth="1"/>
    <col min="23" max="23" width="6.8515625" style="0" customWidth="1"/>
    <col min="24" max="24" width="3.421875" style="0" customWidth="1"/>
    <col min="25" max="25" width="6.28125" style="0" customWidth="1"/>
    <col min="26" max="26" width="3.421875" style="0" customWidth="1"/>
    <col min="27" max="27" width="8.28125" style="0" customWidth="1"/>
    <col min="28" max="28" width="2.8515625" style="0" customWidth="1"/>
    <col min="29" max="29" width="1.8515625" style="0" customWidth="1"/>
    <col min="30" max="30" width="2.57421875" style="0" customWidth="1"/>
    <col min="31" max="31" width="8.421875" style="0" customWidth="1"/>
    <col min="32" max="32" width="2.7109375" style="0" customWidth="1"/>
    <col min="33" max="33" width="8.7109375" style="0" customWidth="1"/>
    <col min="34" max="34" width="2.8515625" style="0" customWidth="1"/>
    <col min="36" max="36" width="3.140625" style="0" customWidth="1"/>
    <col min="38" max="39" width="2.57421875" style="0" customWidth="1"/>
    <col min="40" max="40" width="10.00390625" style="0" customWidth="1"/>
    <col min="41" max="42" width="2.28125" style="0" customWidth="1"/>
    <col min="43" max="43" width="2.57421875" style="0" customWidth="1"/>
    <col min="44" max="44" width="7.57421875" style="0" customWidth="1"/>
    <col min="45" max="45" width="3.00390625" style="0" customWidth="1"/>
    <col min="46" max="46" width="9.00390625" style="0" customWidth="1"/>
    <col min="47" max="47" width="2.7109375" style="0" customWidth="1"/>
    <col min="48" max="48" width="6.421875" style="0" customWidth="1"/>
    <col min="49" max="50" width="2.421875" style="0" customWidth="1"/>
    <col min="51" max="51" width="10.00390625" style="0" customWidth="1"/>
    <col min="52" max="52" width="2.421875" style="0" customWidth="1"/>
  </cols>
  <sheetData>
    <row r="6" spans="29:41" ht="15">
      <c r="AC6" s="16"/>
      <c r="AL6" s="16"/>
      <c r="AO6" s="48"/>
    </row>
    <row r="7" spans="7:52" ht="15">
      <c r="G7" s="16"/>
      <c r="P7" s="16"/>
      <c r="Q7" s="49"/>
      <c r="AB7" s="16"/>
      <c r="AC7" s="16"/>
      <c r="AL7" s="16"/>
      <c r="AN7" s="4"/>
      <c r="AO7" s="16"/>
      <c r="AP7" s="49"/>
      <c r="AW7" s="16"/>
      <c r="AZ7" s="16"/>
    </row>
    <row r="8" spans="6:52" ht="15">
      <c r="F8" s="48"/>
      <c r="G8" s="16"/>
      <c r="P8" s="16"/>
      <c r="Q8" s="49"/>
      <c r="AB8" s="16"/>
      <c r="AC8" s="16"/>
      <c r="AE8" s="46">
        <f>SUM(AE12:AE82)</f>
        <v>85505.51705213734</v>
      </c>
      <c r="AF8" s="1"/>
      <c r="AG8" s="46">
        <f>SUM(AG12:AG82)</f>
        <v>293292.0027665181</v>
      </c>
      <c r="AH8" s="1"/>
      <c r="AI8" s="46">
        <f>SUM(AI12:AI82)</f>
        <v>0</v>
      </c>
      <c r="AJ8" s="1"/>
      <c r="AK8" s="46">
        <f>SUM(AK12:AK82)</f>
        <v>0</v>
      </c>
      <c r="AL8" s="50"/>
      <c r="AM8" s="1"/>
      <c r="AN8" s="46">
        <f>SUM(AN12:AN82)</f>
        <v>378797.51981865556</v>
      </c>
      <c r="AO8" s="16"/>
      <c r="AP8" s="49"/>
      <c r="AR8" s="47">
        <f>SUM(AR12:AR82)</f>
        <v>4.809523699452949</v>
      </c>
      <c r="AT8" s="47">
        <f>SUM(AT12:AT82)</f>
        <v>7.207979210972333</v>
      </c>
      <c r="AV8" s="47">
        <f>SUM(AV12:AV82)</f>
        <v>-0.41898857538074047</v>
      </c>
      <c r="AW8" s="16"/>
      <c r="AY8" s="47">
        <f>SUM(AY12:AY82)</f>
        <v>11.598514335044538</v>
      </c>
      <c r="AZ8" s="16"/>
    </row>
    <row r="9" spans="1:52" ht="6.75" customHeight="1">
      <c r="A9" s="16"/>
      <c r="C9" s="4"/>
      <c r="D9" s="4"/>
      <c r="E9" s="4"/>
      <c r="F9" s="16"/>
      <c r="G9" s="16"/>
      <c r="P9" s="16"/>
      <c r="Q9" s="49"/>
      <c r="AB9" s="16"/>
      <c r="AC9" s="16"/>
      <c r="AL9" s="16"/>
      <c r="AO9" s="16"/>
      <c r="AP9" s="49"/>
      <c r="AW9" s="16"/>
      <c r="AZ9" s="16"/>
    </row>
    <row r="10" spans="1:52" ht="15">
      <c r="A10" s="16"/>
      <c r="F10" s="16"/>
      <c r="G10" s="16"/>
      <c r="P10" s="16"/>
      <c r="Q10" s="49"/>
      <c r="AB10" s="16"/>
      <c r="AC10" s="16"/>
      <c r="AL10" s="16"/>
      <c r="AO10" s="16"/>
      <c r="AP10" s="49"/>
      <c r="AW10" s="16"/>
      <c r="AZ10" s="16"/>
    </row>
    <row r="11" spans="1:52" ht="15">
      <c r="A11" s="16"/>
      <c r="F11" s="16"/>
      <c r="G11" s="16"/>
      <c r="P11" s="16"/>
      <c r="Q11" s="49"/>
      <c r="AB11" s="16"/>
      <c r="AC11" s="16"/>
      <c r="AL11" s="16"/>
      <c r="AO11" s="16"/>
      <c r="AP11" s="49"/>
      <c r="AW11" s="16"/>
      <c r="AZ11" s="16"/>
    </row>
    <row r="12" spans="1:52" ht="15">
      <c r="A12" s="16"/>
      <c r="C12" s="4">
        <f aca="true" t="shared" si="0" ref="C12:C43">start_age+cycle</f>
        <v>40</v>
      </c>
      <c r="D12" s="4"/>
      <c r="E12" s="4">
        <v>0</v>
      </c>
      <c r="F12" s="16"/>
      <c r="G12" s="16"/>
      <c r="I12" s="35">
        <f aca="true" t="shared" si="1" ref="I12:I43">VLOOKUP(age,prob_die_healthy,2)</f>
        <v>0.0001</v>
      </c>
      <c r="K12" s="35">
        <f aca="true" t="shared" si="2" ref="K12:K43">VLOOKUP(age,prob_die_disease,2)</f>
        <v>0.01</v>
      </c>
      <c r="M12" s="35">
        <f aca="true" t="shared" si="3" ref="M12:M43">VLOOKUP(age,prob_disease,2)</f>
        <v>0.1</v>
      </c>
      <c r="O12" s="35">
        <f aca="true" t="shared" si="4" ref="O12:O43">VLOOKUP(age,prob_hosp_disease,2)</f>
        <v>0.1</v>
      </c>
      <c r="P12" s="16"/>
      <c r="Q12" s="49"/>
      <c r="S12" s="34">
        <v>1</v>
      </c>
      <c r="U12" s="34">
        <v>0</v>
      </c>
      <c r="V12" s="34"/>
      <c r="W12" s="34">
        <v>0</v>
      </c>
      <c r="X12" s="34"/>
      <c r="Y12" s="34">
        <v>0</v>
      </c>
      <c r="AA12" s="9">
        <f>S12+U12+Y12</f>
        <v>1</v>
      </c>
      <c r="AB12" s="16"/>
      <c r="AC12" s="16"/>
      <c r="AE12" s="36">
        <f aca="true" t="shared" si="5" ref="AE12:AE43">(S12*Cost_old_drug+U12*Cost_old_drug)/(1+Discount_Rate)^cycle</f>
        <v>5000</v>
      </c>
      <c r="AG12" s="36">
        <f aca="true" t="shared" si="6" ref="AG12:AG43">(W12*Cost_hospitalization)/(1+Discount_Rate)^cycle</f>
        <v>0</v>
      </c>
      <c r="AI12" s="36">
        <f aca="true" t="shared" si="7" ref="AI12:AI43">IF(study_perspective=1,0,IF(age&lt;65,(W12*length_of_stay*Cost_hospitalization)/(1+Discount_Rate)^cycle,0))</f>
        <v>0</v>
      </c>
      <c r="AK12" s="36">
        <f aca="true" t="shared" si="8" ref="AK12:AK43">IF(study_perspective=1,0,IF(age&lt;65,(Y12*mean_annual_wage)/(1+Discount_Rate)^cycle,0))</f>
        <v>0</v>
      </c>
      <c r="AL12" s="16"/>
      <c r="AN12" s="36">
        <f aca="true" t="shared" si="9" ref="AN12:AN43">AE12+AG12+AI12+AK12</f>
        <v>5000</v>
      </c>
      <c r="AO12" s="16"/>
      <c r="AP12" s="49"/>
      <c r="AR12" s="45">
        <f aca="true" t="shared" si="10" ref="AR12:AR43">S12*Utility_healthy/(1+Discount_Rate)^cycle</f>
        <v>0.8</v>
      </c>
      <c r="AT12" s="45">
        <f aca="true" t="shared" si="11" ref="AT12:AT43">U12*Utility_disease/(1+Discount_Rate)^cycle</f>
        <v>0</v>
      </c>
      <c r="AV12" s="45">
        <f aca="true" t="shared" si="12" ref="AV12:AV43">W12*-Utility_decrement_hospitalization/(1+Discount_Rate)^cycle</f>
        <v>0</v>
      </c>
      <c r="AW12" s="16"/>
      <c r="AY12" s="45">
        <f>AR12+AT12+AV12</f>
        <v>0.8</v>
      </c>
      <c r="AZ12" s="16"/>
    </row>
    <row r="13" spans="1:52" ht="15">
      <c r="A13" s="16"/>
      <c r="C13" s="4">
        <f t="shared" si="0"/>
        <v>41</v>
      </c>
      <c r="D13" s="4"/>
      <c r="E13" s="4">
        <v>1</v>
      </c>
      <c r="F13" s="16"/>
      <c r="G13" s="16"/>
      <c r="I13" s="35">
        <f t="shared" si="1"/>
        <v>0.00012</v>
      </c>
      <c r="K13" s="35">
        <f t="shared" si="2"/>
        <v>0.012</v>
      </c>
      <c r="M13" s="35">
        <f t="shared" si="3"/>
        <v>0.11</v>
      </c>
      <c r="O13" s="35">
        <f t="shared" si="4"/>
        <v>0.1</v>
      </c>
      <c r="P13" s="16"/>
      <c r="Q13" s="49"/>
      <c r="S13" s="34">
        <f>S12+(0)-(S12*(I12+M12))</f>
        <v>0.8999</v>
      </c>
      <c r="U13" s="34">
        <f>U12+(S12*M12)-(U12*K12)</f>
        <v>0.1</v>
      </c>
      <c r="W13" s="34">
        <f>U13*O13</f>
        <v>0.010000000000000002</v>
      </c>
      <c r="Y13" s="34">
        <f>Y12+S12*I12+U12*K12</f>
        <v>0.0001</v>
      </c>
      <c r="AA13" s="9">
        <f>S13+U13+Y13</f>
        <v>1</v>
      </c>
      <c r="AB13" s="16"/>
      <c r="AC13" s="16"/>
      <c r="AE13" s="36">
        <f t="shared" si="5"/>
        <v>4853.883495145631</v>
      </c>
      <c r="AG13" s="36">
        <f t="shared" si="6"/>
        <v>679.6116504854369</v>
      </c>
      <c r="AI13" s="36">
        <f t="shared" si="7"/>
        <v>0</v>
      </c>
      <c r="AK13" s="36">
        <f t="shared" si="8"/>
        <v>0</v>
      </c>
      <c r="AL13" s="16"/>
      <c r="AN13" s="36">
        <f t="shared" si="9"/>
        <v>5533.495145631068</v>
      </c>
      <c r="AO13" s="16"/>
      <c r="AP13" s="49"/>
      <c r="AR13" s="45">
        <f t="shared" si="10"/>
        <v>0.6989514563106797</v>
      </c>
      <c r="AT13" s="45">
        <f t="shared" si="11"/>
        <v>0.06310679611650485</v>
      </c>
      <c r="AV13" s="45">
        <f t="shared" si="12"/>
        <v>-0.0009708737864077672</v>
      </c>
      <c r="AW13" s="16"/>
      <c r="AY13" s="45">
        <f aca="true" t="shared" si="13" ref="AY13:AY76">AR13+AT13+AV13</f>
        <v>0.7610873786407767</v>
      </c>
      <c r="AZ13" s="16"/>
    </row>
    <row r="14" spans="1:52" ht="15">
      <c r="A14" s="16"/>
      <c r="C14" s="4">
        <f t="shared" si="0"/>
        <v>42</v>
      </c>
      <c r="D14" s="4"/>
      <c r="E14" s="4">
        <v>2</v>
      </c>
      <c r="F14" s="16"/>
      <c r="G14" s="49"/>
      <c r="I14" s="35">
        <f t="shared" si="1"/>
        <v>0.00014</v>
      </c>
      <c r="K14" s="35">
        <f t="shared" si="2"/>
        <v>0.014</v>
      </c>
      <c r="M14" s="35">
        <f t="shared" si="3"/>
        <v>0.12</v>
      </c>
      <c r="O14" s="35">
        <f t="shared" si="4"/>
        <v>0.1</v>
      </c>
      <c r="P14" s="16"/>
      <c r="Q14" s="49"/>
      <c r="S14" s="34">
        <f aca="true" t="shared" si="14" ref="S14:S19">S13+(0)-(S13*(I13+M13))</f>
        <v>0.800803012</v>
      </c>
      <c r="U14" s="34">
        <f aca="true" t="shared" si="15" ref="U14:U19">U13+(S13*M13)-(U13*K13)</f>
        <v>0.19778900000000002</v>
      </c>
      <c r="W14" s="34">
        <f aca="true" t="shared" si="16" ref="W14:W19">U14*O14</f>
        <v>0.019778900000000002</v>
      </c>
      <c r="Y14" s="34">
        <f aca="true" t="shared" si="17" ref="Y14:Y19">Y13+S13*I13+U13*K13</f>
        <v>0.0014079880000000002</v>
      </c>
      <c r="AA14" s="9">
        <f aca="true" t="shared" si="18" ref="AA14:AA19">S14+U14+Y14</f>
        <v>1</v>
      </c>
      <c r="AB14" s="16"/>
      <c r="AC14" s="16"/>
      <c r="AE14" s="36">
        <f t="shared" si="5"/>
        <v>4706.343727024225</v>
      </c>
      <c r="AG14" s="36">
        <f t="shared" si="6"/>
        <v>1305.0457159015932</v>
      </c>
      <c r="AI14" s="36">
        <f t="shared" si="7"/>
        <v>0</v>
      </c>
      <c r="AK14" s="36">
        <f t="shared" si="8"/>
        <v>0</v>
      </c>
      <c r="AL14" s="16"/>
      <c r="AN14" s="36">
        <f t="shared" si="9"/>
        <v>6011.389442925818</v>
      </c>
      <c r="AO14" s="16"/>
      <c r="AP14" s="49"/>
      <c r="AR14" s="45">
        <f t="shared" si="10"/>
        <v>0.6038669145065512</v>
      </c>
      <c r="AT14" s="45">
        <f t="shared" si="11"/>
        <v>0.1211828164765765</v>
      </c>
      <c r="AV14" s="45">
        <f t="shared" si="12"/>
        <v>-0.001864351022716562</v>
      </c>
      <c r="AW14" s="16"/>
      <c r="AY14" s="45">
        <f t="shared" si="13"/>
        <v>0.7231853799604111</v>
      </c>
      <c r="AZ14" s="16"/>
    </row>
    <row r="15" spans="1:52" ht="15">
      <c r="A15" s="16"/>
      <c r="C15" s="4">
        <f t="shared" si="0"/>
        <v>43</v>
      </c>
      <c r="D15" s="4"/>
      <c r="E15" s="4">
        <v>3</v>
      </c>
      <c r="F15" s="16"/>
      <c r="G15" s="49"/>
      <c r="I15" s="35">
        <f t="shared" si="1"/>
        <v>0.00016</v>
      </c>
      <c r="K15" s="35">
        <f t="shared" si="2"/>
        <v>0.016</v>
      </c>
      <c r="M15" s="35">
        <f t="shared" si="3"/>
        <v>0.13</v>
      </c>
      <c r="O15" s="35">
        <f t="shared" si="4"/>
        <v>0.1</v>
      </c>
      <c r="P15" s="16"/>
      <c r="Q15" s="49"/>
      <c r="S15" s="34">
        <f t="shared" si="14"/>
        <v>0.7045945381383201</v>
      </c>
      <c r="U15" s="34">
        <f t="shared" si="15"/>
        <v>0.29111631544</v>
      </c>
      <c r="W15" s="34">
        <f t="shared" si="16"/>
        <v>0.029111631544</v>
      </c>
      <c r="Y15" s="34">
        <f t="shared" si="17"/>
        <v>0.004289146421680001</v>
      </c>
      <c r="AA15" s="9">
        <f t="shared" si="18"/>
        <v>1.0000000000000002</v>
      </c>
      <c r="AB15" s="16"/>
      <c r="AC15" s="16"/>
      <c r="AE15" s="36">
        <f t="shared" si="5"/>
        <v>4556.082413898074</v>
      </c>
      <c r="AG15" s="36">
        <f t="shared" si="6"/>
        <v>1864.888675835776</v>
      </c>
      <c r="AI15" s="36">
        <f t="shared" si="7"/>
        <v>0</v>
      </c>
      <c r="AK15" s="36">
        <f t="shared" si="8"/>
        <v>0</v>
      </c>
      <c r="AL15" s="16"/>
      <c r="AN15" s="36">
        <f t="shared" si="9"/>
        <v>6420.97108973385</v>
      </c>
      <c r="AO15" s="16"/>
      <c r="AP15" s="49"/>
      <c r="AR15" s="45">
        <f t="shared" si="10"/>
        <v>0.5158430518424603</v>
      </c>
      <c r="AT15" s="45">
        <f t="shared" si="11"/>
        <v>0.17316823418475064</v>
      </c>
      <c r="AV15" s="45">
        <f t="shared" si="12"/>
        <v>-0.0026641266797653943</v>
      </c>
      <c r="AW15" s="16"/>
      <c r="AY15" s="45">
        <f t="shared" si="13"/>
        <v>0.6863471593474455</v>
      </c>
      <c r="AZ15" s="16"/>
    </row>
    <row r="16" spans="1:52" ht="15">
      <c r="A16" s="16"/>
      <c r="C16" s="4">
        <f t="shared" si="0"/>
        <v>44</v>
      </c>
      <c r="D16" s="4"/>
      <c r="E16" s="4">
        <v>4</v>
      </c>
      <c r="F16" s="16"/>
      <c r="G16" s="49"/>
      <c r="I16" s="35">
        <f t="shared" si="1"/>
        <v>0.00018</v>
      </c>
      <c r="K16" s="35">
        <f t="shared" si="2"/>
        <v>0.018</v>
      </c>
      <c r="M16" s="35">
        <f t="shared" si="3"/>
        <v>0.14</v>
      </c>
      <c r="O16" s="35">
        <f t="shared" si="4"/>
        <v>0.1</v>
      </c>
      <c r="P16" s="16"/>
      <c r="Q16" s="49"/>
      <c r="S16" s="34">
        <f t="shared" si="14"/>
        <v>0.6128845130542363</v>
      </c>
      <c r="U16" s="34">
        <f t="shared" si="15"/>
        <v>0.3780557443509416</v>
      </c>
      <c r="W16" s="34">
        <f t="shared" si="16"/>
        <v>0.037805574435094164</v>
      </c>
      <c r="Y16" s="34">
        <f t="shared" si="17"/>
        <v>0.009059742594822132</v>
      </c>
      <c r="AA16" s="9">
        <f t="shared" si="18"/>
        <v>1</v>
      </c>
      <c r="AB16" s="16"/>
      <c r="AC16" s="16"/>
      <c r="AE16" s="36">
        <f t="shared" si="5"/>
        <v>4402.187919813698</v>
      </c>
      <c r="AG16" s="36">
        <f t="shared" si="6"/>
        <v>2351.283425721556</v>
      </c>
      <c r="AI16" s="36">
        <f t="shared" si="7"/>
        <v>0</v>
      </c>
      <c r="AK16" s="36">
        <f t="shared" si="8"/>
        <v>0</v>
      </c>
      <c r="AL16" s="16"/>
      <c r="AN16" s="36">
        <f t="shared" si="9"/>
        <v>6753.471345535254</v>
      </c>
      <c r="AO16" s="16"/>
      <c r="AP16" s="49"/>
      <c r="AR16" s="45">
        <f t="shared" si="10"/>
        <v>0.43563196137344234</v>
      </c>
      <c r="AT16" s="45">
        <f t="shared" si="11"/>
        <v>0.21833346095985873</v>
      </c>
      <c r="AV16" s="45">
        <f t="shared" si="12"/>
        <v>-0.0033589763224593657</v>
      </c>
      <c r="AW16" s="16"/>
      <c r="AY16" s="45">
        <f t="shared" si="13"/>
        <v>0.6506064460108417</v>
      </c>
      <c r="AZ16" s="16"/>
    </row>
    <row r="17" spans="1:52" ht="15">
      <c r="A17" s="16"/>
      <c r="C17" s="4">
        <f t="shared" si="0"/>
        <v>45</v>
      </c>
      <c r="D17" s="4"/>
      <c r="E17" s="4">
        <v>5</v>
      </c>
      <c r="F17" s="16"/>
      <c r="G17" s="49"/>
      <c r="I17" s="35">
        <f t="shared" si="1"/>
        <v>0.0002</v>
      </c>
      <c r="K17" s="35">
        <f t="shared" si="2"/>
        <v>0.02</v>
      </c>
      <c r="M17" s="35">
        <f t="shared" si="3"/>
        <v>0.15</v>
      </c>
      <c r="O17" s="35">
        <f t="shared" si="4"/>
        <v>0.1</v>
      </c>
      <c r="P17" s="16"/>
      <c r="Q17" s="49"/>
      <c r="S17" s="34">
        <f t="shared" si="14"/>
        <v>0.5269703620142935</v>
      </c>
      <c r="U17" s="34">
        <f t="shared" si="15"/>
        <v>0.4570545727802177</v>
      </c>
      <c r="W17" s="34">
        <f t="shared" si="16"/>
        <v>0.04570545727802178</v>
      </c>
      <c r="Y17" s="34">
        <f t="shared" si="17"/>
        <v>0.01597506520548884</v>
      </c>
      <c r="AA17" s="9">
        <f t="shared" si="18"/>
        <v>1</v>
      </c>
      <c r="AB17" s="16"/>
      <c r="AC17" s="49"/>
      <c r="AE17" s="36">
        <f t="shared" si="5"/>
        <v>4244.142764033998</v>
      </c>
      <c r="AG17" s="36">
        <f t="shared" si="6"/>
        <v>2759.81502596217</v>
      </c>
      <c r="AI17" s="36">
        <f t="shared" si="7"/>
        <v>0</v>
      </c>
      <c r="AK17" s="36">
        <f t="shared" si="8"/>
        <v>0</v>
      </c>
      <c r="AL17" s="16"/>
      <c r="AN17" s="36">
        <f t="shared" si="9"/>
        <v>7003.957789996168</v>
      </c>
      <c r="AO17" s="16"/>
      <c r="AP17" s="49"/>
      <c r="AR17" s="45">
        <f t="shared" si="10"/>
        <v>0.36365541070690605</v>
      </c>
      <c r="AT17" s="45">
        <f t="shared" si="11"/>
        <v>0.2562685381250586</v>
      </c>
      <c r="AV17" s="45">
        <f t="shared" si="12"/>
        <v>-0.003942592894231671</v>
      </c>
      <c r="AW17" s="16"/>
      <c r="AY17" s="45">
        <f t="shared" si="13"/>
        <v>0.615981355937733</v>
      </c>
      <c r="AZ17" s="16"/>
    </row>
    <row r="18" spans="1:52" ht="15">
      <c r="A18" s="16"/>
      <c r="C18" s="4">
        <f t="shared" si="0"/>
        <v>46</v>
      </c>
      <c r="D18" s="4"/>
      <c r="E18" s="4">
        <v>6</v>
      </c>
      <c r="F18" s="16"/>
      <c r="G18" s="49"/>
      <c r="I18" s="35">
        <f t="shared" si="1"/>
        <v>0.00022</v>
      </c>
      <c r="K18" s="35">
        <f t="shared" si="2"/>
        <v>0.022</v>
      </c>
      <c r="M18" s="35">
        <f t="shared" si="3"/>
        <v>0.16</v>
      </c>
      <c r="O18" s="35">
        <f t="shared" si="4"/>
        <v>0.2</v>
      </c>
      <c r="P18" s="16"/>
      <c r="Q18" s="49"/>
      <c r="S18" s="34">
        <f t="shared" si="14"/>
        <v>0.4478194136397466</v>
      </c>
      <c r="U18" s="34">
        <f t="shared" si="15"/>
        <v>0.5269590356267574</v>
      </c>
      <c r="W18" s="34">
        <f t="shared" si="16"/>
        <v>0.10539180712535148</v>
      </c>
      <c r="Y18" s="34">
        <f t="shared" si="17"/>
        <v>0.025221550733496058</v>
      </c>
      <c r="AA18" s="9">
        <f t="shared" si="18"/>
        <v>1</v>
      </c>
      <c r="AB18" s="16"/>
      <c r="AC18" s="49"/>
      <c r="AE18" s="36">
        <f t="shared" si="5"/>
        <v>4081.808025076017</v>
      </c>
      <c r="AG18" s="36">
        <f t="shared" si="6"/>
        <v>6178.478547564544</v>
      </c>
      <c r="AI18" s="36">
        <f t="shared" si="7"/>
        <v>0</v>
      </c>
      <c r="AK18" s="36">
        <f t="shared" si="8"/>
        <v>0</v>
      </c>
      <c r="AL18" s="16"/>
      <c r="AN18" s="36">
        <f t="shared" si="9"/>
        <v>10260.286572640562</v>
      </c>
      <c r="AO18" s="16"/>
      <c r="AP18" s="49"/>
      <c r="AR18" s="45">
        <f t="shared" si="10"/>
        <v>0.30003336700847455</v>
      </c>
      <c r="AT18" s="45">
        <f t="shared" si="11"/>
        <v>0.2868579325654967</v>
      </c>
      <c r="AV18" s="45">
        <f t="shared" si="12"/>
        <v>-0.008826397925092207</v>
      </c>
      <c r="AW18" s="16"/>
      <c r="AY18" s="45">
        <f t="shared" si="13"/>
        <v>0.578064901648879</v>
      </c>
      <c r="AZ18" s="16"/>
    </row>
    <row r="19" spans="1:52" ht="15">
      <c r="A19" s="16"/>
      <c r="C19" s="4">
        <f t="shared" si="0"/>
        <v>47</v>
      </c>
      <c r="D19" s="4"/>
      <c r="E19" s="4">
        <v>7</v>
      </c>
      <c r="F19" s="16"/>
      <c r="G19" s="49"/>
      <c r="I19" s="35">
        <f t="shared" si="1"/>
        <v>0.00024</v>
      </c>
      <c r="K19" s="35">
        <f t="shared" si="2"/>
        <v>0.024</v>
      </c>
      <c r="M19" s="35">
        <f t="shared" si="3"/>
        <v>0.17</v>
      </c>
      <c r="O19" s="35">
        <f t="shared" si="4"/>
        <v>0.2</v>
      </c>
      <c r="P19" s="16"/>
      <c r="Q19" s="49"/>
      <c r="S19" s="34">
        <f t="shared" si="14"/>
        <v>0.3760697871863864</v>
      </c>
      <c r="U19" s="34">
        <f t="shared" si="15"/>
        <v>0.5870170430253282</v>
      </c>
      <c r="W19" s="34">
        <f t="shared" si="16"/>
        <v>0.11740340860506565</v>
      </c>
      <c r="Y19" s="34">
        <f t="shared" si="17"/>
        <v>0.03691316978828546</v>
      </c>
      <c r="AA19" s="9">
        <f t="shared" si="18"/>
        <v>1</v>
      </c>
      <c r="AB19" s="16"/>
      <c r="AC19" s="49"/>
      <c r="AE19" s="36">
        <f t="shared" si="5"/>
        <v>3915.3886316586145</v>
      </c>
      <c r="AG19" s="36">
        <f t="shared" si="6"/>
        <v>6682.180045768789</v>
      </c>
      <c r="AI19" s="36">
        <f t="shared" si="7"/>
        <v>0</v>
      </c>
      <c r="AK19" s="36">
        <f t="shared" si="8"/>
        <v>0</v>
      </c>
      <c r="AL19" s="16"/>
      <c r="AN19" s="36">
        <f t="shared" si="9"/>
        <v>10597.568677427404</v>
      </c>
      <c r="AO19" s="16"/>
      <c r="AP19" s="49"/>
      <c r="AR19" s="45">
        <f t="shared" si="10"/>
        <v>0.24462332130716186</v>
      </c>
      <c r="AT19" s="45">
        <f t="shared" si="11"/>
        <v>0.3102440735535509</v>
      </c>
      <c r="AV19" s="45">
        <f t="shared" si="12"/>
        <v>-0.009545971493955413</v>
      </c>
      <c r="AW19" s="16"/>
      <c r="AY19" s="45">
        <f t="shared" si="13"/>
        <v>0.5453214233667574</v>
      </c>
      <c r="AZ19" s="16"/>
    </row>
    <row r="20" spans="1:52" ht="15">
      <c r="A20" s="16"/>
      <c r="C20" s="4">
        <f t="shared" si="0"/>
        <v>48</v>
      </c>
      <c r="D20" s="4"/>
      <c r="E20" s="4">
        <v>8</v>
      </c>
      <c r="F20" s="16"/>
      <c r="G20" s="49"/>
      <c r="I20" s="35">
        <f t="shared" si="1"/>
        <v>0.00026</v>
      </c>
      <c r="K20" s="35">
        <f t="shared" si="2"/>
        <v>0.026</v>
      </c>
      <c r="M20" s="35">
        <f t="shared" si="3"/>
        <v>0.18</v>
      </c>
      <c r="O20" s="35">
        <f t="shared" si="4"/>
        <v>0.2</v>
      </c>
      <c r="P20" s="16"/>
      <c r="Q20" s="49"/>
      <c r="S20" s="34">
        <f aca="true" t="shared" si="19" ref="S20:S82">S19+(0)-(S19*(I19+M19))</f>
        <v>0.312047666615776</v>
      </c>
      <c r="U20" s="34">
        <f aca="true" t="shared" si="20" ref="U20:U82">U19+(S19*M19)-(U19*K19)</f>
        <v>0.636860497814406</v>
      </c>
      <c r="W20" s="34">
        <f aca="true" t="shared" si="21" ref="W20:W82">U20*O20</f>
        <v>0.1273720995628812</v>
      </c>
      <c r="Y20" s="34">
        <f aca="true" t="shared" si="22" ref="Y20:Y82">Y19+S19*I19+U19*K19</f>
        <v>0.05109183556981807</v>
      </c>
      <c r="AA20" s="9">
        <f aca="true" t="shared" si="23" ref="AA20:AA82">S20+U20+Y20</f>
        <v>1</v>
      </c>
      <c r="AB20" s="16"/>
      <c r="AC20" s="49"/>
      <c r="AE20" s="36">
        <f t="shared" si="5"/>
        <v>3745.3843375853608</v>
      </c>
      <c r="AG20" s="36">
        <f t="shared" si="6"/>
        <v>7038.409811222471</v>
      </c>
      <c r="AI20" s="36">
        <f t="shared" si="7"/>
        <v>0</v>
      </c>
      <c r="AK20" s="36">
        <f t="shared" si="8"/>
        <v>0</v>
      </c>
      <c r="AL20" s="16"/>
      <c r="AN20" s="36">
        <f t="shared" si="9"/>
        <v>10783.794148807832</v>
      </c>
      <c r="AO20" s="16"/>
      <c r="AP20" s="49"/>
      <c r="AR20" s="45">
        <f t="shared" si="10"/>
        <v>0.197066647658088</v>
      </c>
      <c r="AT20" s="45">
        <f t="shared" si="11"/>
        <v>0.3267833126639005</v>
      </c>
      <c r="AV20" s="45">
        <f t="shared" si="12"/>
        <v>-0.010054871158889245</v>
      </c>
      <c r="AW20" s="16"/>
      <c r="AY20" s="45">
        <f t="shared" si="13"/>
        <v>0.5137950891630992</v>
      </c>
      <c r="AZ20" s="16"/>
    </row>
    <row r="21" spans="1:52" ht="15">
      <c r="A21" s="16"/>
      <c r="C21" s="4">
        <f t="shared" si="0"/>
        <v>49</v>
      </c>
      <c r="D21" s="4"/>
      <c r="E21" s="4">
        <v>9</v>
      </c>
      <c r="F21" s="16"/>
      <c r="G21" s="49"/>
      <c r="I21" s="35">
        <f t="shared" si="1"/>
        <v>0.00028</v>
      </c>
      <c r="K21" s="35">
        <f t="shared" si="2"/>
        <v>0.028</v>
      </c>
      <c r="M21" s="35">
        <f t="shared" si="3"/>
        <v>0.19</v>
      </c>
      <c r="O21" s="35">
        <f t="shared" si="4"/>
        <v>0.2</v>
      </c>
      <c r="P21" s="16"/>
      <c r="Q21" s="49"/>
      <c r="S21" s="34">
        <f t="shared" si="19"/>
        <v>0.2557979542316162</v>
      </c>
      <c r="U21" s="34">
        <f t="shared" si="20"/>
        <v>0.6764707048620712</v>
      </c>
      <c r="W21" s="34">
        <f t="shared" si="21"/>
        <v>0.13529414097241424</v>
      </c>
      <c r="Y21" s="34">
        <f t="shared" si="22"/>
        <v>0.06773134090631272</v>
      </c>
      <c r="AA21" s="9">
        <f t="shared" si="23"/>
        <v>1</v>
      </c>
      <c r="AB21" s="16"/>
      <c r="AC21" s="49"/>
      <c r="AE21" s="36">
        <f t="shared" si="5"/>
        <v>3572.5314968447933</v>
      </c>
      <c r="AG21" s="36">
        <f t="shared" si="6"/>
        <v>7258.418540052102</v>
      </c>
      <c r="AI21" s="36">
        <f t="shared" si="7"/>
        <v>0</v>
      </c>
      <c r="AK21" s="36">
        <f t="shared" si="8"/>
        <v>0</v>
      </c>
      <c r="AL21" s="16"/>
      <c r="AN21" s="36">
        <f t="shared" si="9"/>
        <v>10830.950036896895</v>
      </c>
      <c r="AO21" s="16"/>
      <c r="AP21" s="49"/>
      <c r="AR21" s="45">
        <f t="shared" si="10"/>
        <v>0.15683826577790397</v>
      </c>
      <c r="AT21" s="45">
        <f t="shared" si="11"/>
        <v>0.33699800364527616</v>
      </c>
      <c r="AV21" s="45">
        <f t="shared" si="12"/>
        <v>-0.010369169342931575</v>
      </c>
      <c r="AW21" s="16"/>
      <c r="AY21" s="45">
        <f t="shared" si="13"/>
        <v>0.48346710008024857</v>
      </c>
      <c r="AZ21" s="16"/>
    </row>
    <row r="22" spans="1:52" ht="15">
      <c r="A22" s="16"/>
      <c r="C22" s="4">
        <f t="shared" si="0"/>
        <v>50</v>
      </c>
      <c r="D22" s="4"/>
      <c r="E22" s="4">
        <v>10</v>
      </c>
      <c r="F22" s="16"/>
      <c r="G22" s="49"/>
      <c r="I22" s="35">
        <f t="shared" si="1"/>
        <v>0.0003</v>
      </c>
      <c r="K22" s="35">
        <f t="shared" si="2"/>
        <v>0.03</v>
      </c>
      <c r="M22" s="35">
        <f t="shared" si="3"/>
        <v>0.2</v>
      </c>
      <c r="O22" s="35">
        <f t="shared" si="4"/>
        <v>0.2</v>
      </c>
      <c r="P22" s="16"/>
      <c r="Q22" s="49"/>
      <c r="S22" s="34">
        <f t="shared" si="19"/>
        <v>0.20712471950042427</v>
      </c>
      <c r="U22" s="34">
        <f t="shared" si="20"/>
        <v>0.7061311364299403</v>
      </c>
      <c r="W22" s="34">
        <f t="shared" si="21"/>
        <v>0.14122622728598808</v>
      </c>
      <c r="Y22" s="34">
        <f t="shared" si="22"/>
        <v>0.08674414406963557</v>
      </c>
      <c r="AA22" s="9">
        <f t="shared" si="23"/>
        <v>1</v>
      </c>
      <c r="AB22" s="16"/>
      <c r="AC22" s="49"/>
      <c r="AE22" s="36">
        <f t="shared" si="5"/>
        <v>3397.740625707923</v>
      </c>
      <c r="AG22" s="36">
        <f t="shared" si="6"/>
        <v>7355.9903443127905</v>
      </c>
      <c r="AI22" s="36">
        <f t="shared" si="7"/>
        <v>0</v>
      </c>
      <c r="AK22" s="36">
        <f t="shared" si="8"/>
        <v>0</v>
      </c>
      <c r="AL22" s="16"/>
      <c r="AN22" s="36">
        <f t="shared" si="9"/>
        <v>10753.730970020713</v>
      </c>
      <c r="AO22" s="16"/>
      <c r="AP22" s="49"/>
      <c r="AR22" s="45">
        <f t="shared" si="10"/>
        <v>0.12329619472396544</v>
      </c>
      <c r="AT22" s="45">
        <f t="shared" si="11"/>
        <v>0.34152812312880815</v>
      </c>
      <c r="AV22" s="45">
        <f t="shared" si="12"/>
        <v>-0.010508557634732558</v>
      </c>
      <c r="AW22" s="16"/>
      <c r="AY22" s="45">
        <f t="shared" si="13"/>
        <v>0.454315760218041</v>
      </c>
      <c r="AZ22" s="16"/>
    </row>
    <row r="23" spans="1:52" ht="15">
      <c r="A23" s="16"/>
      <c r="C23" s="4">
        <f t="shared" si="0"/>
        <v>51</v>
      </c>
      <c r="D23" s="4"/>
      <c r="E23" s="4">
        <v>11</v>
      </c>
      <c r="F23" s="16"/>
      <c r="G23" s="49"/>
      <c r="I23" s="35">
        <f t="shared" si="1"/>
        <v>0.00032</v>
      </c>
      <c r="K23" s="35">
        <f t="shared" si="2"/>
        <v>0.032</v>
      </c>
      <c r="M23" s="35">
        <f t="shared" si="3"/>
        <v>0.21</v>
      </c>
      <c r="O23" s="35">
        <f t="shared" si="4"/>
        <v>0.2</v>
      </c>
      <c r="P23" s="16"/>
      <c r="Q23" s="49"/>
      <c r="S23" s="34">
        <f t="shared" si="19"/>
        <v>0.1656376381844893</v>
      </c>
      <c r="U23" s="34">
        <f t="shared" si="20"/>
        <v>0.726372146237127</v>
      </c>
      <c r="W23" s="34">
        <f t="shared" si="21"/>
        <v>0.1452744292474254</v>
      </c>
      <c r="Y23" s="34">
        <f t="shared" si="22"/>
        <v>0.1079902155783839</v>
      </c>
      <c r="AA23" s="9">
        <f t="shared" si="23"/>
        <v>1.0000000000000002</v>
      </c>
      <c r="AB23" s="16"/>
      <c r="AC23" s="49"/>
      <c r="AE23" s="36">
        <f t="shared" si="5"/>
        <v>3222.034236002254</v>
      </c>
      <c r="AG23" s="36">
        <f t="shared" si="6"/>
        <v>7346.4537043857135</v>
      </c>
      <c r="AI23" s="36">
        <f t="shared" si="7"/>
        <v>0</v>
      </c>
      <c r="AK23" s="36">
        <f t="shared" si="8"/>
        <v>0</v>
      </c>
      <c r="AL23" s="16"/>
      <c r="AN23" s="36">
        <f t="shared" si="9"/>
        <v>10568.487940387968</v>
      </c>
      <c r="AO23" s="16"/>
      <c r="AP23" s="49"/>
      <c r="AR23" s="45">
        <f t="shared" si="10"/>
        <v>0.09572812322403412</v>
      </c>
      <c r="AT23" s="45">
        <f t="shared" si="11"/>
        <v>0.3410853505607653</v>
      </c>
      <c r="AV23" s="45">
        <f t="shared" si="12"/>
        <v>-0.010494933863408164</v>
      </c>
      <c r="AW23" s="16"/>
      <c r="AY23" s="45">
        <f t="shared" si="13"/>
        <v>0.42631853992139124</v>
      </c>
      <c r="AZ23" s="16"/>
    </row>
    <row r="24" spans="1:52" ht="15">
      <c r="A24" s="16"/>
      <c r="C24" s="4">
        <f t="shared" si="0"/>
        <v>52</v>
      </c>
      <c r="D24" s="4"/>
      <c r="E24" s="4">
        <v>12</v>
      </c>
      <c r="F24" s="16"/>
      <c r="G24" s="49"/>
      <c r="I24" s="35">
        <f t="shared" si="1"/>
        <v>0.00034</v>
      </c>
      <c r="K24" s="35">
        <f t="shared" si="2"/>
        <v>0.034</v>
      </c>
      <c r="M24" s="35">
        <f t="shared" si="3"/>
        <v>0.22</v>
      </c>
      <c r="O24" s="35">
        <f t="shared" si="4"/>
        <v>0.2</v>
      </c>
      <c r="P24" s="16"/>
      <c r="Q24" s="49"/>
      <c r="S24" s="34">
        <f t="shared" si="19"/>
        <v>0.13080073012152751</v>
      </c>
      <c r="U24" s="34">
        <f t="shared" si="20"/>
        <v>0.7379121415762817</v>
      </c>
      <c r="W24" s="34">
        <f t="shared" si="21"/>
        <v>0.14758242831525634</v>
      </c>
      <c r="Y24" s="34">
        <f t="shared" si="22"/>
        <v>0.131287128302191</v>
      </c>
      <c r="AA24" s="9">
        <f t="shared" si="23"/>
        <v>1.0000000000000002</v>
      </c>
      <c r="AB24" s="16"/>
      <c r="AC24" s="49"/>
      <c r="AE24" s="36">
        <f t="shared" si="5"/>
        <v>3046.4886493675153</v>
      </c>
      <c r="AG24" s="36">
        <f t="shared" si="6"/>
        <v>7245.794212323977</v>
      </c>
      <c r="AI24" s="36">
        <f t="shared" si="7"/>
        <v>0</v>
      </c>
      <c r="AK24" s="36">
        <f t="shared" si="8"/>
        <v>0</v>
      </c>
      <c r="AL24" s="16"/>
      <c r="AN24" s="36">
        <f t="shared" si="9"/>
        <v>10292.282861691492</v>
      </c>
      <c r="AO24" s="16"/>
      <c r="AP24" s="49"/>
      <c r="AR24" s="45">
        <f t="shared" si="10"/>
        <v>0.07339280033743231</v>
      </c>
      <c r="AT24" s="45">
        <f t="shared" si="11"/>
        <v>0.3364118741436133</v>
      </c>
      <c r="AV24" s="45">
        <f t="shared" si="12"/>
        <v>-0.010351134589034255</v>
      </c>
      <c r="AW24" s="16"/>
      <c r="AY24" s="45">
        <f t="shared" si="13"/>
        <v>0.3994535398920114</v>
      </c>
      <c r="AZ24" s="16"/>
    </row>
    <row r="25" spans="1:52" ht="15">
      <c r="A25" s="16"/>
      <c r="C25" s="4">
        <f t="shared" si="0"/>
        <v>53</v>
      </c>
      <c r="D25" s="4"/>
      <c r="E25" s="4">
        <v>13</v>
      </c>
      <c r="F25" s="16"/>
      <c r="G25" s="49"/>
      <c r="I25" s="35">
        <f t="shared" si="1"/>
        <v>0.00036</v>
      </c>
      <c r="K25" s="35">
        <f t="shared" si="2"/>
        <v>0.036</v>
      </c>
      <c r="M25" s="35">
        <f t="shared" si="3"/>
        <v>0.23</v>
      </c>
      <c r="O25" s="35">
        <f t="shared" si="4"/>
        <v>0.2</v>
      </c>
      <c r="P25" s="16"/>
      <c r="Q25" s="49"/>
      <c r="S25" s="34">
        <f t="shared" si="19"/>
        <v>0.10198009724655013</v>
      </c>
      <c r="U25" s="34">
        <f t="shared" si="20"/>
        <v>0.7415992893894242</v>
      </c>
      <c r="W25" s="34">
        <f t="shared" si="21"/>
        <v>0.14831985787788485</v>
      </c>
      <c r="Y25" s="34">
        <f t="shared" si="22"/>
        <v>0.15642061336402588</v>
      </c>
      <c r="AA25" s="9">
        <f t="shared" si="23"/>
        <v>1.0000000000000002</v>
      </c>
      <c r="AB25" s="16"/>
      <c r="AC25" s="49"/>
      <c r="AE25" s="36">
        <f t="shared" si="5"/>
        <v>2872.1825686019492</v>
      </c>
      <c r="AG25" s="36">
        <f t="shared" si="6"/>
        <v>7069.902417868037</v>
      </c>
      <c r="AI25" s="36">
        <f t="shared" si="7"/>
        <v>0</v>
      </c>
      <c r="AK25" s="36">
        <f t="shared" si="8"/>
        <v>0</v>
      </c>
      <c r="AL25" s="16"/>
      <c r="AN25" s="36">
        <f t="shared" si="9"/>
        <v>9942.084986469987</v>
      </c>
      <c r="AO25" s="16"/>
      <c r="AP25" s="49"/>
      <c r="AR25" s="45">
        <f t="shared" si="10"/>
        <v>0.055554787098138325</v>
      </c>
      <c r="AT25" s="45">
        <f t="shared" si="11"/>
        <v>0.328245469401016</v>
      </c>
      <c r="AV25" s="45">
        <f t="shared" si="12"/>
        <v>-0.01009986059695434</v>
      </c>
      <c r="AW25" s="16"/>
      <c r="AY25" s="45">
        <f t="shared" si="13"/>
        <v>0.3737003959022</v>
      </c>
      <c r="AZ25" s="16"/>
    </row>
    <row r="26" spans="1:52" ht="15">
      <c r="A26" s="16"/>
      <c r="C26" s="4">
        <f t="shared" si="0"/>
        <v>54</v>
      </c>
      <c r="D26" s="4"/>
      <c r="E26" s="4">
        <v>14</v>
      </c>
      <c r="F26" s="16"/>
      <c r="G26" s="49"/>
      <c r="I26" s="35">
        <f t="shared" si="1"/>
        <v>0.00038</v>
      </c>
      <c r="K26" s="35">
        <f t="shared" si="2"/>
        <v>0.038</v>
      </c>
      <c r="M26" s="35">
        <f t="shared" si="3"/>
        <v>0.24</v>
      </c>
      <c r="O26" s="35">
        <f t="shared" si="4"/>
        <v>0.2</v>
      </c>
      <c r="P26" s="16"/>
      <c r="Q26" s="49"/>
      <c r="S26" s="34">
        <f t="shared" si="19"/>
        <v>0.07848796204483484</v>
      </c>
      <c r="U26" s="34">
        <f t="shared" si="20"/>
        <v>0.7383571373381115</v>
      </c>
      <c r="W26" s="34">
        <f t="shared" si="21"/>
        <v>0.1476714274676223</v>
      </c>
      <c r="Y26" s="34">
        <f t="shared" si="22"/>
        <v>0.1831549006170539</v>
      </c>
      <c r="AA26" s="9">
        <f t="shared" si="23"/>
        <v>1.0000000000000002</v>
      </c>
      <c r="AB26" s="16"/>
      <c r="AC26" s="49"/>
      <c r="AE26" s="36">
        <f t="shared" si="5"/>
        <v>2700.1541989887273</v>
      </c>
      <c r="AG26" s="36">
        <f t="shared" si="6"/>
        <v>6833.974707664848</v>
      </c>
      <c r="AI26" s="36">
        <f t="shared" si="7"/>
        <v>0</v>
      </c>
      <c r="AK26" s="36">
        <f t="shared" si="8"/>
        <v>0</v>
      </c>
      <c r="AL26" s="16"/>
      <c r="AN26" s="36">
        <f t="shared" si="9"/>
        <v>9534.128906653576</v>
      </c>
      <c r="AO26" s="16"/>
      <c r="AP26" s="49"/>
      <c r="AR26" s="45">
        <f t="shared" si="10"/>
        <v>0.04151183140020502</v>
      </c>
      <c r="AT26" s="45">
        <f t="shared" si="11"/>
        <v>0.31729168285586795</v>
      </c>
      <c r="AV26" s="45">
        <f t="shared" si="12"/>
        <v>-0.009762821010949784</v>
      </c>
      <c r="AW26" s="16"/>
      <c r="AY26" s="45">
        <f t="shared" si="13"/>
        <v>0.3490406932451232</v>
      </c>
      <c r="AZ26" s="16"/>
    </row>
    <row r="27" spans="1:52" ht="15">
      <c r="A27" s="16"/>
      <c r="C27" s="4">
        <f t="shared" si="0"/>
        <v>55</v>
      </c>
      <c r="D27" s="4"/>
      <c r="E27" s="4">
        <v>15</v>
      </c>
      <c r="F27" s="16"/>
      <c r="G27" s="49"/>
      <c r="I27" s="35">
        <f t="shared" si="1"/>
        <v>0.0004</v>
      </c>
      <c r="K27" s="35">
        <f t="shared" si="2"/>
        <v>0.04</v>
      </c>
      <c r="M27" s="35">
        <f t="shared" si="3"/>
        <v>0.25</v>
      </c>
      <c r="O27" s="35">
        <f t="shared" si="4"/>
        <v>0.2</v>
      </c>
      <c r="P27" s="16"/>
      <c r="Q27" s="49"/>
      <c r="S27" s="34">
        <f t="shared" si="19"/>
        <v>0.05962102572849744</v>
      </c>
      <c r="U27" s="34">
        <f t="shared" si="20"/>
        <v>0.7291366770100236</v>
      </c>
      <c r="W27" s="34">
        <f t="shared" si="21"/>
        <v>0.14582733540200474</v>
      </c>
      <c r="Y27" s="34">
        <f t="shared" si="22"/>
        <v>0.21124229726147914</v>
      </c>
      <c r="AA27" s="9">
        <f t="shared" si="23"/>
        <v>1.0000000000000002</v>
      </c>
      <c r="AB27" s="16"/>
      <c r="AC27" s="49"/>
      <c r="AE27" s="36">
        <f t="shared" si="5"/>
        <v>2531.367775519542</v>
      </c>
      <c r="AG27" s="36">
        <f t="shared" si="6"/>
        <v>6552.071223936355</v>
      </c>
      <c r="AI27" s="36">
        <f t="shared" si="7"/>
        <v>0</v>
      </c>
      <c r="AK27" s="36">
        <f t="shared" si="8"/>
        <v>0</v>
      </c>
      <c r="AL27" s="16"/>
      <c r="AN27" s="36">
        <f t="shared" si="9"/>
        <v>9083.438999455897</v>
      </c>
      <c r="AO27" s="16"/>
      <c r="AP27" s="49"/>
      <c r="AR27" s="45">
        <f t="shared" si="10"/>
        <v>0.03061477414390654</v>
      </c>
      <c r="AT27" s="45">
        <f t="shared" si="11"/>
        <v>0.30420330682561647</v>
      </c>
      <c r="AV27" s="45">
        <f t="shared" si="12"/>
        <v>-0.009360101748480508</v>
      </c>
      <c r="AW27" s="16"/>
      <c r="AY27" s="45">
        <f t="shared" si="13"/>
        <v>0.3254579792210425</v>
      </c>
      <c r="AZ27" s="16"/>
    </row>
    <row r="28" spans="1:52" ht="15">
      <c r="A28" s="16"/>
      <c r="C28" s="4">
        <f t="shared" si="0"/>
        <v>56</v>
      </c>
      <c r="D28" s="4"/>
      <c r="E28" s="4">
        <v>16</v>
      </c>
      <c r="F28" s="16"/>
      <c r="G28" s="49"/>
      <c r="I28" s="35">
        <f t="shared" si="1"/>
        <v>0.00042</v>
      </c>
      <c r="K28" s="35">
        <f t="shared" si="2"/>
        <v>0.042</v>
      </c>
      <c r="M28" s="35">
        <f t="shared" si="3"/>
        <v>0.26</v>
      </c>
      <c r="O28" s="35">
        <f t="shared" si="4"/>
        <v>0.3</v>
      </c>
      <c r="P28" s="16"/>
      <c r="Q28" s="49"/>
      <c r="S28" s="34">
        <f t="shared" si="19"/>
        <v>0.044691920886081676</v>
      </c>
      <c r="U28" s="34">
        <f t="shared" si="20"/>
        <v>0.7148764663617471</v>
      </c>
      <c r="W28" s="34">
        <f t="shared" si="21"/>
        <v>0.2144629399085241</v>
      </c>
      <c r="Y28" s="34">
        <f t="shared" si="22"/>
        <v>0.24043161275217148</v>
      </c>
      <c r="AA28" s="9">
        <f t="shared" si="23"/>
        <v>1.0000000000000002</v>
      </c>
      <c r="AB28" s="16"/>
      <c r="AC28" s="49"/>
      <c r="AE28" s="36">
        <f t="shared" si="5"/>
        <v>2366.68953504794</v>
      </c>
      <c r="AG28" s="36">
        <f t="shared" si="6"/>
        <v>9355.234968725961</v>
      </c>
      <c r="AI28" s="36">
        <f t="shared" si="7"/>
        <v>0</v>
      </c>
      <c r="AK28" s="36">
        <f t="shared" si="8"/>
        <v>0</v>
      </c>
      <c r="AL28" s="16"/>
      <c r="AN28" s="36">
        <f t="shared" si="9"/>
        <v>11721.924503773902</v>
      </c>
      <c r="AO28" s="16"/>
      <c r="AP28" s="49"/>
      <c r="AR28" s="45">
        <f t="shared" si="10"/>
        <v>0.02228042203715762</v>
      </c>
      <c r="AT28" s="45">
        <f t="shared" si="11"/>
        <v>0.2895667966510416</v>
      </c>
      <c r="AV28" s="45">
        <f t="shared" si="12"/>
        <v>-0.013364621383894229</v>
      </c>
      <c r="AW28" s="16"/>
      <c r="AY28" s="45">
        <f t="shared" si="13"/>
        <v>0.29848259730430504</v>
      </c>
      <c r="AZ28" s="16"/>
    </row>
    <row r="29" spans="1:52" ht="15">
      <c r="A29" s="16"/>
      <c r="C29" s="4">
        <f t="shared" si="0"/>
        <v>57</v>
      </c>
      <c r="D29" s="4"/>
      <c r="E29" s="4">
        <v>17</v>
      </c>
      <c r="F29" s="16"/>
      <c r="G29" s="49"/>
      <c r="I29" s="35">
        <f t="shared" si="1"/>
        <v>0.00044</v>
      </c>
      <c r="K29" s="35">
        <f t="shared" si="2"/>
        <v>0.044</v>
      </c>
      <c r="M29" s="35">
        <f t="shared" si="3"/>
        <v>0.27</v>
      </c>
      <c r="O29" s="35">
        <f t="shared" si="4"/>
        <v>0.3</v>
      </c>
      <c r="P29" s="16"/>
      <c r="Q29" s="49"/>
      <c r="S29" s="34">
        <f t="shared" si="19"/>
        <v>0.03305325084892829</v>
      </c>
      <c r="U29" s="34">
        <f t="shared" si="20"/>
        <v>0.6964715542049349</v>
      </c>
      <c r="W29" s="34">
        <f t="shared" si="21"/>
        <v>0.20894146626148047</v>
      </c>
      <c r="Y29" s="34">
        <f t="shared" si="22"/>
        <v>0.27047519494613703</v>
      </c>
      <c r="AA29" s="9">
        <f t="shared" si="23"/>
        <v>1.0000000000000002</v>
      </c>
      <c r="AB29" s="16"/>
      <c r="AC29" s="49"/>
      <c r="AE29" s="36">
        <f t="shared" si="5"/>
        <v>2206.8725235464394</v>
      </c>
      <c r="AG29" s="36">
        <f t="shared" si="6"/>
        <v>8848.911631498126</v>
      </c>
      <c r="AI29" s="36">
        <f t="shared" si="7"/>
        <v>0</v>
      </c>
      <c r="AK29" s="36">
        <f t="shared" si="8"/>
        <v>0</v>
      </c>
      <c r="AL29" s="16"/>
      <c r="AN29" s="36">
        <f t="shared" si="9"/>
        <v>11055.784155044565</v>
      </c>
      <c r="AO29" s="16"/>
      <c r="AP29" s="49"/>
      <c r="AR29" s="45">
        <f t="shared" si="10"/>
        <v>0.01599820828178741</v>
      </c>
      <c r="AT29" s="45">
        <f t="shared" si="11"/>
        <v>0.2738948838320849</v>
      </c>
      <c r="AV29" s="45">
        <f t="shared" si="12"/>
        <v>-0.012641302330711611</v>
      </c>
      <c r="AW29" s="16"/>
      <c r="AY29" s="45">
        <f t="shared" si="13"/>
        <v>0.2772517897831607</v>
      </c>
      <c r="AZ29" s="16"/>
    </row>
    <row r="30" spans="1:52" ht="15">
      <c r="A30" s="16"/>
      <c r="C30" s="4">
        <f t="shared" si="0"/>
        <v>58</v>
      </c>
      <c r="D30" s="4"/>
      <c r="E30" s="4">
        <v>18</v>
      </c>
      <c r="F30" s="16"/>
      <c r="G30" s="49"/>
      <c r="I30" s="35">
        <f t="shared" si="1"/>
        <v>0.00046</v>
      </c>
      <c r="K30" s="35">
        <f t="shared" si="2"/>
        <v>0.046</v>
      </c>
      <c r="M30" s="35">
        <f t="shared" si="3"/>
        <v>0.28</v>
      </c>
      <c r="O30" s="35">
        <f t="shared" si="4"/>
        <v>0.3</v>
      </c>
      <c r="P30" s="16"/>
      <c r="Q30" s="49"/>
      <c r="S30" s="34">
        <f t="shared" si="19"/>
        <v>0.02411432968934412</v>
      </c>
      <c r="U30" s="34">
        <f t="shared" si="20"/>
        <v>0.6747511835491283</v>
      </c>
      <c r="W30" s="34">
        <f t="shared" si="21"/>
        <v>0.2024253550647385</v>
      </c>
      <c r="Y30" s="34">
        <f t="shared" si="22"/>
        <v>0.3011344867615277</v>
      </c>
      <c r="AA30" s="9">
        <f t="shared" si="23"/>
        <v>1.0000000000000002</v>
      </c>
      <c r="AB30" s="16"/>
      <c r="AC30" s="49"/>
      <c r="AE30" s="36">
        <f t="shared" si="5"/>
        <v>2052.549169626323</v>
      </c>
      <c r="AG30" s="36">
        <f t="shared" si="6"/>
        <v>8323.249340688715</v>
      </c>
      <c r="AI30" s="36">
        <f t="shared" si="7"/>
        <v>0</v>
      </c>
      <c r="AK30" s="36">
        <f t="shared" si="8"/>
        <v>0</v>
      </c>
      <c r="AL30" s="16"/>
      <c r="AN30" s="36">
        <f t="shared" si="9"/>
        <v>10375.798510315039</v>
      </c>
      <c r="AO30" s="16"/>
      <c r="AP30" s="49"/>
      <c r="AR30" s="45">
        <f t="shared" si="10"/>
        <v>0.011331701780641574</v>
      </c>
      <c r="AT30" s="45">
        <f t="shared" si="11"/>
        <v>0.25762438435465074</v>
      </c>
      <c r="AV30" s="45">
        <f t="shared" si="12"/>
        <v>-0.011890356200983878</v>
      </c>
      <c r="AW30" s="16"/>
      <c r="AY30" s="45">
        <f t="shared" si="13"/>
        <v>0.25706572993430843</v>
      </c>
      <c r="AZ30" s="16"/>
    </row>
    <row r="31" spans="1:52" ht="15">
      <c r="A31" s="16"/>
      <c r="C31" s="4">
        <f t="shared" si="0"/>
        <v>59</v>
      </c>
      <c r="D31" s="4"/>
      <c r="E31" s="4">
        <v>19</v>
      </c>
      <c r="F31" s="16"/>
      <c r="G31" s="49"/>
      <c r="I31" s="35">
        <f t="shared" si="1"/>
        <v>0.00048</v>
      </c>
      <c r="K31" s="35">
        <f t="shared" si="2"/>
        <v>0.048</v>
      </c>
      <c r="M31" s="35">
        <f t="shared" si="3"/>
        <v>0.29</v>
      </c>
      <c r="O31" s="35">
        <f t="shared" si="4"/>
        <v>0.3</v>
      </c>
      <c r="P31" s="16"/>
      <c r="Q31" s="49"/>
      <c r="S31" s="34">
        <f t="shared" si="19"/>
        <v>0.017351224784670667</v>
      </c>
      <c r="U31" s="34">
        <f t="shared" si="20"/>
        <v>0.6504646414188848</v>
      </c>
      <c r="W31" s="34">
        <f t="shared" si="21"/>
        <v>0.19513939242566544</v>
      </c>
      <c r="Y31" s="34">
        <f t="shared" si="22"/>
        <v>0.33218413379644474</v>
      </c>
      <c r="AA31" s="9">
        <f t="shared" si="23"/>
        <v>1.0000000000000002</v>
      </c>
      <c r="AB31" s="16"/>
      <c r="AC31" s="49"/>
      <c r="AE31" s="36">
        <f t="shared" si="5"/>
        <v>1904.2302848959487</v>
      </c>
      <c r="AG31" s="36">
        <f t="shared" si="6"/>
        <v>7789.968814664806</v>
      </c>
      <c r="AI31" s="36">
        <f t="shared" si="7"/>
        <v>0</v>
      </c>
      <c r="AK31" s="36">
        <f t="shared" si="8"/>
        <v>0</v>
      </c>
      <c r="AL31" s="16"/>
      <c r="AN31" s="36">
        <f t="shared" si="9"/>
        <v>9694.199099560754</v>
      </c>
      <c r="AO31" s="16"/>
      <c r="AP31" s="49"/>
      <c r="AR31" s="45">
        <f t="shared" si="10"/>
        <v>0.007916128834216347</v>
      </c>
      <c r="AT31" s="45">
        <f t="shared" si="11"/>
        <v>0.24111808235867258</v>
      </c>
      <c r="AV31" s="45">
        <f t="shared" si="12"/>
        <v>-0.01112852687809258</v>
      </c>
      <c r="AW31" s="16"/>
      <c r="AY31" s="45">
        <f t="shared" si="13"/>
        <v>0.23790568431479636</v>
      </c>
      <c r="AZ31" s="16"/>
    </row>
    <row r="32" spans="1:52" ht="15">
      <c r="A32" s="16"/>
      <c r="C32" s="4">
        <f t="shared" si="0"/>
        <v>60</v>
      </c>
      <c r="D32" s="4"/>
      <c r="E32" s="4">
        <v>20</v>
      </c>
      <c r="F32" s="16"/>
      <c r="G32" s="49"/>
      <c r="I32" s="35">
        <f t="shared" si="1"/>
        <v>0.01</v>
      </c>
      <c r="K32" s="35">
        <f t="shared" si="2"/>
        <v>0.05</v>
      </c>
      <c r="M32" s="35">
        <f t="shared" si="3"/>
        <v>0.3</v>
      </c>
      <c r="O32" s="35">
        <f t="shared" si="4"/>
        <v>0.8</v>
      </c>
      <c r="P32" s="16"/>
      <c r="Q32" s="49"/>
      <c r="S32" s="34">
        <f t="shared" si="19"/>
        <v>0.012311041009219533</v>
      </c>
      <c r="U32" s="34">
        <f t="shared" si="20"/>
        <v>0.6242741938183328</v>
      </c>
      <c r="W32" s="34">
        <f t="shared" si="21"/>
        <v>0.4994193550546663</v>
      </c>
      <c r="Y32" s="34">
        <f t="shared" si="22"/>
        <v>0.3634147651724478</v>
      </c>
      <c r="AA32" s="9">
        <f t="shared" si="23"/>
        <v>1.0000000000000002</v>
      </c>
      <c r="AB32" s="16"/>
      <c r="AC32" s="49"/>
      <c r="AE32" s="36">
        <f t="shared" si="5"/>
        <v>1762.309049985151</v>
      </c>
      <c r="AG32" s="36">
        <f t="shared" si="6"/>
        <v>19356.147164560174</v>
      </c>
      <c r="AI32" s="36">
        <f t="shared" si="7"/>
        <v>0</v>
      </c>
      <c r="AK32" s="36">
        <f t="shared" si="8"/>
        <v>0</v>
      </c>
      <c r="AL32" s="16"/>
      <c r="AN32" s="36">
        <f t="shared" si="9"/>
        <v>21118.456214545324</v>
      </c>
      <c r="AO32" s="16"/>
      <c r="AP32" s="49"/>
      <c r="AR32" s="45">
        <f t="shared" si="10"/>
        <v>0.005453059932478819</v>
      </c>
      <c r="AT32" s="45">
        <f t="shared" si="11"/>
        <v>0.2246695653029306</v>
      </c>
      <c r="AV32" s="45">
        <f t="shared" si="12"/>
        <v>-0.02765163880651454</v>
      </c>
      <c r="AW32" s="16"/>
      <c r="AY32" s="45">
        <f t="shared" si="13"/>
        <v>0.2024709864288949</v>
      </c>
      <c r="AZ32" s="16"/>
    </row>
    <row r="33" spans="1:52" ht="15">
      <c r="A33" s="16"/>
      <c r="C33" s="4">
        <f t="shared" si="0"/>
        <v>61</v>
      </c>
      <c r="D33" s="4"/>
      <c r="E33" s="4">
        <v>21</v>
      </c>
      <c r="F33" s="16"/>
      <c r="G33" s="49"/>
      <c r="I33" s="35">
        <f t="shared" si="1"/>
        <v>0.015</v>
      </c>
      <c r="K33" s="35">
        <f t="shared" si="2"/>
        <v>0.055</v>
      </c>
      <c r="M33" s="35">
        <f t="shared" si="3"/>
        <v>0.31</v>
      </c>
      <c r="O33" s="35">
        <f t="shared" si="4"/>
        <v>0.8</v>
      </c>
      <c r="P33" s="16"/>
      <c r="Q33" s="49"/>
      <c r="S33" s="34">
        <f t="shared" si="19"/>
        <v>0.008494618296361478</v>
      </c>
      <c r="U33" s="34">
        <f t="shared" si="20"/>
        <v>0.596753796430182</v>
      </c>
      <c r="W33" s="34">
        <f t="shared" si="21"/>
        <v>0.4774030371441456</v>
      </c>
      <c r="Y33" s="34">
        <f t="shared" si="22"/>
        <v>0.39475158527345666</v>
      </c>
      <c r="AA33" s="9">
        <f t="shared" si="23"/>
        <v>1</v>
      </c>
      <c r="AB33" s="16"/>
      <c r="AC33" s="49"/>
      <c r="AE33" s="36">
        <f t="shared" si="5"/>
        <v>1626.7542354068091</v>
      </c>
      <c r="AG33" s="36">
        <f t="shared" si="6"/>
        <v>17963.93598535361</v>
      </c>
      <c r="AI33" s="36">
        <f t="shared" si="7"/>
        <v>0</v>
      </c>
      <c r="AK33" s="36">
        <f t="shared" si="8"/>
        <v>0</v>
      </c>
      <c r="AL33" s="16"/>
      <c r="AN33" s="36">
        <f t="shared" si="9"/>
        <v>19590.69022076042</v>
      </c>
      <c r="AO33" s="16"/>
      <c r="AP33" s="49"/>
      <c r="AR33" s="45">
        <f t="shared" si="10"/>
        <v>0.0036530207314663934</v>
      </c>
      <c r="AT33" s="45">
        <f t="shared" si="11"/>
        <v>0.20850997125856874</v>
      </c>
      <c r="AV33" s="45">
        <f t="shared" si="12"/>
        <v>-0.02566276569336231</v>
      </c>
      <c r="AW33" s="16"/>
      <c r="AY33" s="45">
        <f t="shared" si="13"/>
        <v>0.18650022629667282</v>
      </c>
      <c r="AZ33" s="16"/>
    </row>
    <row r="34" spans="1:52" ht="15">
      <c r="A34" s="16"/>
      <c r="C34" s="4">
        <f t="shared" si="0"/>
        <v>62</v>
      </c>
      <c r="D34" s="4"/>
      <c r="E34" s="4">
        <v>22</v>
      </c>
      <c r="F34" s="16"/>
      <c r="G34" s="49"/>
      <c r="I34" s="35">
        <f t="shared" si="1"/>
        <v>0.02</v>
      </c>
      <c r="K34" s="35">
        <f t="shared" si="2"/>
        <v>0.06</v>
      </c>
      <c r="M34" s="35">
        <f t="shared" si="3"/>
        <v>0.32</v>
      </c>
      <c r="O34" s="35">
        <f t="shared" si="4"/>
        <v>0.8</v>
      </c>
      <c r="P34" s="16"/>
      <c r="Q34" s="49"/>
      <c r="S34" s="34">
        <f t="shared" si="19"/>
        <v>0.005733867350043997</v>
      </c>
      <c r="U34" s="34">
        <f t="shared" si="20"/>
        <v>0.566565669298394</v>
      </c>
      <c r="W34" s="34">
        <f t="shared" si="21"/>
        <v>0.45325253543871524</v>
      </c>
      <c r="Y34" s="34">
        <f t="shared" si="22"/>
        <v>0.4277004633515621</v>
      </c>
      <c r="AA34" s="9">
        <f t="shared" si="23"/>
        <v>1</v>
      </c>
      <c r="AB34" s="16"/>
      <c r="AC34" s="49"/>
      <c r="AE34" s="36">
        <f t="shared" si="5"/>
        <v>1493.394182176991</v>
      </c>
      <c r="AG34" s="36">
        <f t="shared" si="6"/>
        <v>16558.436947603866</v>
      </c>
      <c r="AI34" s="36">
        <f t="shared" si="7"/>
        <v>0</v>
      </c>
      <c r="AK34" s="36">
        <f t="shared" si="8"/>
        <v>0</v>
      </c>
      <c r="AL34" s="16"/>
      <c r="AN34" s="36">
        <f t="shared" si="9"/>
        <v>18051.831129780858</v>
      </c>
      <c r="AO34" s="16"/>
      <c r="AP34" s="49"/>
      <c r="AR34" s="45">
        <f t="shared" si="10"/>
        <v>0.0023939698968347724</v>
      </c>
      <c r="AT34" s="45">
        <f t="shared" si="11"/>
        <v>0.1921961431418306</v>
      </c>
      <c r="AV34" s="45">
        <f t="shared" si="12"/>
        <v>-0.023654909925148383</v>
      </c>
      <c r="AW34" s="16"/>
      <c r="AY34" s="45">
        <f t="shared" si="13"/>
        <v>0.17093520311351698</v>
      </c>
      <c r="AZ34" s="16"/>
    </row>
    <row r="35" spans="1:52" ht="15">
      <c r="A35" s="16"/>
      <c r="C35" s="4">
        <f t="shared" si="0"/>
        <v>63</v>
      </c>
      <c r="D35" s="4"/>
      <c r="E35" s="4">
        <v>23</v>
      </c>
      <c r="F35" s="16"/>
      <c r="G35" s="49"/>
      <c r="I35" s="35">
        <f t="shared" si="1"/>
        <v>0.025</v>
      </c>
      <c r="K35" s="35">
        <f t="shared" si="2"/>
        <v>0.065</v>
      </c>
      <c r="M35" s="35">
        <f t="shared" si="3"/>
        <v>0.33</v>
      </c>
      <c r="O35" s="35">
        <f t="shared" si="4"/>
        <v>0.8</v>
      </c>
      <c r="P35" s="16"/>
      <c r="Q35" s="49"/>
      <c r="S35" s="34">
        <f t="shared" si="19"/>
        <v>0.0037843524510290383</v>
      </c>
      <c r="U35" s="34">
        <f t="shared" si="20"/>
        <v>0.5344065666925044</v>
      </c>
      <c r="W35" s="34">
        <f t="shared" si="21"/>
        <v>0.42752525335400354</v>
      </c>
      <c r="Y35" s="34">
        <f t="shared" si="22"/>
        <v>0.4618090808564666</v>
      </c>
      <c r="AA35" s="9">
        <f t="shared" si="23"/>
        <v>1</v>
      </c>
      <c r="AB35" s="16"/>
      <c r="AC35" s="49"/>
      <c r="AE35" s="36">
        <f t="shared" si="5"/>
        <v>1363.4844890491067</v>
      </c>
      <c r="AG35" s="36">
        <f t="shared" si="6"/>
        <v>15163.646268385177</v>
      </c>
      <c r="AI35" s="36">
        <f t="shared" si="7"/>
        <v>0</v>
      </c>
      <c r="AK35" s="36">
        <f t="shared" si="8"/>
        <v>0</v>
      </c>
      <c r="AL35" s="16"/>
      <c r="AN35" s="36">
        <f t="shared" si="9"/>
        <v>16527.130757434283</v>
      </c>
      <c r="AO35" s="16"/>
      <c r="AP35" s="49"/>
      <c r="AR35" s="45">
        <f t="shared" si="10"/>
        <v>0.0015340001280688832</v>
      </c>
      <c r="AT35" s="45">
        <f t="shared" si="11"/>
        <v>0.17600660847232796</v>
      </c>
      <c r="AV35" s="45">
        <f t="shared" si="12"/>
        <v>-0.021662351811978828</v>
      </c>
      <c r="AW35" s="16"/>
      <c r="AY35" s="45">
        <f t="shared" si="13"/>
        <v>0.15587825678841805</v>
      </c>
      <c r="AZ35" s="16"/>
    </row>
    <row r="36" spans="1:52" ht="15">
      <c r="A36" s="16"/>
      <c r="C36" s="4">
        <f t="shared" si="0"/>
        <v>64</v>
      </c>
      <c r="D36" s="4"/>
      <c r="E36" s="4">
        <v>24</v>
      </c>
      <c r="F36" s="16"/>
      <c r="G36" s="49"/>
      <c r="I36" s="35">
        <f t="shared" si="1"/>
        <v>0.03</v>
      </c>
      <c r="K36" s="35">
        <f t="shared" si="2"/>
        <v>0.07</v>
      </c>
      <c r="M36" s="35">
        <f t="shared" si="3"/>
        <v>0.34</v>
      </c>
      <c r="O36" s="35">
        <f t="shared" si="4"/>
        <v>0.8</v>
      </c>
      <c r="P36" s="16"/>
      <c r="Q36" s="49"/>
      <c r="S36" s="34">
        <f t="shared" si="19"/>
        <v>0.0024409073309137296</v>
      </c>
      <c r="U36" s="34">
        <f t="shared" si="20"/>
        <v>0.5009189761663312</v>
      </c>
      <c r="W36" s="34">
        <f t="shared" si="21"/>
        <v>0.400735180933065</v>
      </c>
      <c r="Y36" s="34">
        <f t="shared" si="22"/>
        <v>0.4966401165027551</v>
      </c>
      <c r="AA36" s="9">
        <f t="shared" si="23"/>
        <v>1</v>
      </c>
      <c r="AB36" s="16"/>
      <c r="AC36" s="49"/>
      <c r="AE36" s="36">
        <f t="shared" si="5"/>
        <v>1238.0985410610995</v>
      </c>
      <c r="AG36" s="36">
        <f t="shared" si="6"/>
        <v>13799.46083873644</v>
      </c>
      <c r="AI36" s="36">
        <f t="shared" si="7"/>
        <v>0</v>
      </c>
      <c r="AK36" s="36">
        <f t="shared" si="8"/>
        <v>0</v>
      </c>
      <c r="AL36" s="16"/>
      <c r="AN36" s="36">
        <f t="shared" si="9"/>
        <v>15037.55937979754</v>
      </c>
      <c r="AO36" s="16"/>
      <c r="AP36" s="49"/>
      <c r="AR36" s="45">
        <f t="shared" si="10"/>
        <v>0.0009606117306839122</v>
      </c>
      <c r="AT36" s="45">
        <f t="shared" si="11"/>
        <v>0.16017231330676224</v>
      </c>
      <c r="AV36" s="45">
        <f t="shared" si="12"/>
        <v>-0.019713515483909202</v>
      </c>
      <c r="AW36" s="16"/>
      <c r="AY36" s="45">
        <f t="shared" si="13"/>
        <v>0.14141940955353693</v>
      </c>
      <c r="AZ36" s="16"/>
    </row>
    <row r="37" spans="1:52" ht="15">
      <c r="A37" s="16"/>
      <c r="C37" s="4">
        <f t="shared" si="0"/>
        <v>65</v>
      </c>
      <c r="D37" s="4"/>
      <c r="E37" s="4">
        <v>25</v>
      </c>
      <c r="F37" s="16"/>
      <c r="G37" s="49"/>
      <c r="I37" s="35">
        <f t="shared" si="1"/>
        <v>0.035</v>
      </c>
      <c r="K37" s="35">
        <f t="shared" si="2"/>
        <v>0.075</v>
      </c>
      <c r="M37" s="35">
        <f t="shared" si="3"/>
        <v>0.35</v>
      </c>
      <c r="O37" s="35">
        <f t="shared" si="4"/>
        <v>0.8</v>
      </c>
      <c r="P37" s="16"/>
      <c r="Q37" s="49"/>
      <c r="S37" s="34">
        <f t="shared" si="19"/>
        <v>0.0015377716184756497</v>
      </c>
      <c r="U37" s="34">
        <f t="shared" si="20"/>
        <v>0.46668455632719863</v>
      </c>
      <c r="W37" s="34">
        <f t="shared" si="21"/>
        <v>0.37334764506175894</v>
      </c>
      <c r="Y37" s="34">
        <f t="shared" si="22"/>
        <v>0.5317776720543257</v>
      </c>
      <c r="AA37" s="9">
        <f t="shared" si="23"/>
        <v>1</v>
      </c>
      <c r="AB37" s="16"/>
      <c r="AC37" s="49"/>
      <c r="AE37" s="36">
        <f t="shared" si="5"/>
        <v>1118.1279573975662</v>
      </c>
      <c r="AG37" s="36">
        <f t="shared" si="6"/>
        <v>12481.904018655501</v>
      </c>
      <c r="AI37" s="36">
        <f t="shared" si="7"/>
        <v>0</v>
      </c>
      <c r="AK37" s="36">
        <f t="shared" si="8"/>
        <v>0</v>
      </c>
      <c r="AL37" s="16"/>
      <c r="AN37" s="36">
        <f t="shared" si="9"/>
        <v>13600.031976053067</v>
      </c>
      <c r="AO37" s="16"/>
      <c r="AP37" s="49"/>
      <c r="AR37" s="45">
        <f t="shared" si="10"/>
        <v>0.0005875586313891892</v>
      </c>
      <c r="AT37" s="45">
        <f t="shared" si="11"/>
        <v>0.1448792430736799</v>
      </c>
      <c r="AV37" s="45">
        <f t="shared" si="12"/>
        <v>-0.017831291455222144</v>
      </c>
      <c r="AW37" s="16"/>
      <c r="AY37" s="45">
        <f t="shared" si="13"/>
        <v>0.12763551024984693</v>
      </c>
      <c r="AZ37" s="16"/>
    </row>
    <row r="38" spans="1:52" ht="15">
      <c r="A38" s="16"/>
      <c r="C38" s="4">
        <f t="shared" si="0"/>
        <v>66</v>
      </c>
      <c r="D38" s="4"/>
      <c r="E38" s="4">
        <v>26</v>
      </c>
      <c r="F38" s="16"/>
      <c r="G38" s="49"/>
      <c r="I38" s="35">
        <f t="shared" si="1"/>
        <v>0.04</v>
      </c>
      <c r="K38" s="35">
        <f t="shared" si="2"/>
        <v>0.08</v>
      </c>
      <c r="M38" s="35">
        <f t="shared" si="3"/>
        <v>0.36</v>
      </c>
      <c r="O38" s="35">
        <f t="shared" si="4"/>
        <v>0.8</v>
      </c>
      <c r="P38" s="16"/>
      <c r="Q38" s="49"/>
      <c r="S38" s="34">
        <f t="shared" si="19"/>
        <v>0.0009457295453625245</v>
      </c>
      <c r="U38" s="34">
        <f t="shared" si="20"/>
        <v>0.4322214346691252</v>
      </c>
      <c r="W38" s="34">
        <f t="shared" si="21"/>
        <v>0.3457771477353002</v>
      </c>
      <c r="Y38" s="34">
        <f t="shared" si="22"/>
        <v>0.5668328357855122</v>
      </c>
      <c r="AA38" s="9">
        <f t="shared" si="23"/>
        <v>1</v>
      </c>
      <c r="AB38" s="16"/>
      <c r="AC38" s="49"/>
      <c r="AE38" s="36">
        <f t="shared" si="5"/>
        <v>1004.286650728734</v>
      </c>
      <c r="AG38" s="36">
        <f t="shared" si="6"/>
        <v>11223.452819150847</v>
      </c>
      <c r="AI38" s="36">
        <f t="shared" si="7"/>
        <v>0</v>
      </c>
      <c r="AK38" s="36">
        <f t="shared" si="8"/>
        <v>0</v>
      </c>
      <c r="AL38" s="16"/>
      <c r="AN38" s="36">
        <f t="shared" si="9"/>
        <v>12227.739469879582</v>
      </c>
      <c r="AO38" s="16"/>
      <c r="AP38" s="49"/>
      <c r="AR38" s="45">
        <f t="shared" si="10"/>
        <v>0.0003508238430139333</v>
      </c>
      <c r="AT38" s="45">
        <f t="shared" si="11"/>
        <v>0.1302722202222866</v>
      </c>
      <c r="AV38" s="45">
        <f t="shared" si="12"/>
        <v>-0.016033504027358352</v>
      </c>
      <c r="AW38" s="16"/>
      <c r="AY38" s="45">
        <f t="shared" si="13"/>
        <v>0.11458954003794218</v>
      </c>
      <c r="AZ38" s="16"/>
    </row>
    <row r="39" spans="1:52" ht="15">
      <c r="A39" s="16"/>
      <c r="C39" s="4">
        <f t="shared" si="0"/>
        <v>67</v>
      </c>
      <c r="D39" s="4"/>
      <c r="E39" s="4">
        <v>27</v>
      </c>
      <c r="F39" s="16"/>
      <c r="G39" s="49"/>
      <c r="I39" s="35">
        <f t="shared" si="1"/>
        <v>0.045</v>
      </c>
      <c r="K39" s="35">
        <f t="shared" si="2"/>
        <v>0.085</v>
      </c>
      <c r="M39" s="35">
        <f t="shared" si="3"/>
        <v>0.37</v>
      </c>
      <c r="O39" s="35">
        <f t="shared" si="4"/>
        <v>0.8</v>
      </c>
      <c r="P39" s="16"/>
      <c r="Q39" s="49"/>
      <c r="S39" s="34">
        <f t="shared" si="19"/>
        <v>0.0005674377272175148</v>
      </c>
      <c r="U39" s="34">
        <f t="shared" si="20"/>
        <v>0.39798418253192575</v>
      </c>
      <c r="W39" s="34">
        <f t="shared" si="21"/>
        <v>0.31838734602554064</v>
      </c>
      <c r="Y39" s="34">
        <f t="shared" si="22"/>
        <v>0.6014483797408567</v>
      </c>
      <c r="AA39" s="9">
        <f t="shared" si="23"/>
        <v>1</v>
      </c>
      <c r="AB39" s="16"/>
      <c r="AC39" s="49"/>
      <c r="AE39" s="36">
        <f t="shared" si="5"/>
        <v>897.1178879914456</v>
      </c>
      <c r="AG39" s="36">
        <f t="shared" si="6"/>
        <v>10033.414907245371</v>
      </c>
      <c r="AI39" s="36">
        <f t="shared" si="7"/>
        <v>0</v>
      </c>
      <c r="AK39" s="36">
        <f t="shared" si="8"/>
        <v>0</v>
      </c>
      <c r="AL39" s="16"/>
      <c r="AN39" s="36">
        <f t="shared" si="9"/>
        <v>10930.532795236817</v>
      </c>
      <c r="AO39" s="16"/>
      <c r="AP39" s="49"/>
      <c r="AR39" s="45">
        <f t="shared" si="10"/>
        <v>0.0002043634036974369</v>
      </c>
      <c r="AT39" s="45">
        <f t="shared" si="11"/>
        <v>0.11645928017338376</v>
      </c>
      <c r="AV39" s="45">
        <f t="shared" si="12"/>
        <v>-0.014333449867493388</v>
      </c>
      <c r="AW39" s="16"/>
      <c r="AY39" s="45">
        <f t="shared" si="13"/>
        <v>0.10233019370958782</v>
      </c>
      <c r="AZ39" s="16"/>
    </row>
    <row r="40" spans="1:52" ht="15">
      <c r="A40" s="16"/>
      <c r="C40" s="4">
        <f t="shared" si="0"/>
        <v>68</v>
      </c>
      <c r="D40" s="4"/>
      <c r="E40" s="4">
        <v>28</v>
      </c>
      <c r="F40" s="16"/>
      <c r="G40" s="49"/>
      <c r="I40" s="35">
        <f t="shared" si="1"/>
        <v>0.05</v>
      </c>
      <c r="K40" s="35">
        <f t="shared" si="2"/>
        <v>0.09</v>
      </c>
      <c r="M40" s="35">
        <f t="shared" si="3"/>
        <v>0.38</v>
      </c>
      <c r="O40" s="35">
        <f t="shared" si="4"/>
        <v>0.8</v>
      </c>
      <c r="P40" s="16"/>
      <c r="Q40" s="49"/>
      <c r="S40" s="34">
        <f t="shared" si="19"/>
        <v>0.0003319510704222462</v>
      </c>
      <c r="U40" s="34">
        <f t="shared" si="20"/>
        <v>0.36436547897578253</v>
      </c>
      <c r="W40" s="34">
        <f t="shared" si="21"/>
        <v>0.29149238318062604</v>
      </c>
      <c r="Y40" s="34">
        <f t="shared" si="22"/>
        <v>0.6353025699537953</v>
      </c>
      <c r="AA40" s="9">
        <f t="shared" si="23"/>
        <v>1</v>
      </c>
      <c r="AB40" s="16"/>
      <c r="AC40" s="49"/>
      <c r="AE40" s="36">
        <f t="shared" si="5"/>
        <v>797.003843070968</v>
      </c>
      <c r="AG40" s="36">
        <f t="shared" si="6"/>
        <v>8918.318109014832</v>
      </c>
      <c r="AI40" s="36">
        <f t="shared" si="7"/>
        <v>0</v>
      </c>
      <c r="AK40" s="36">
        <f t="shared" si="8"/>
        <v>0</v>
      </c>
      <c r="AL40" s="16"/>
      <c r="AN40" s="36">
        <f t="shared" si="9"/>
        <v>9715.3219520858</v>
      </c>
      <c r="AO40" s="16"/>
      <c r="AP40" s="49"/>
      <c r="AR40" s="45">
        <f t="shared" si="10"/>
        <v>0.00011607047685728214</v>
      </c>
      <c r="AT40" s="45">
        <f t="shared" si="11"/>
        <v>0.1035161923367793</v>
      </c>
      <c r="AV40" s="45">
        <f t="shared" si="12"/>
        <v>-0.01274045444144976</v>
      </c>
      <c r="AW40" s="16"/>
      <c r="AY40" s="45">
        <f t="shared" si="13"/>
        <v>0.09089180837218683</v>
      </c>
      <c r="AZ40" s="16"/>
    </row>
    <row r="41" spans="1:52" ht="15">
      <c r="A41" s="16"/>
      <c r="C41" s="4">
        <f t="shared" si="0"/>
        <v>69</v>
      </c>
      <c r="D41" s="4"/>
      <c r="E41" s="4">
        <v>29</v>
      </c>
      <c r="F41" s="16"/>
      <c r="G41" s="49"/>
      <c r="I41" s="35">
        <f t="shared" si="1"/>
        <v>0.055</v>
      </c>
      <c r="K41" s="35">
        <f t="shared" si="2"/>
        <v>0.095</v>
      </c>
      <c r="M41" s="35">
        <f t="shared" si="3"/>
        <v>0.39</v>
      </c>
      <c r="O41" s="35">
        <f t="shared" si="4"/>
        <v>0.8</v>
      </c>
      <c r="P41" s="16"/>
      <c r="Q41" s="49"/>
      <c r="S41" s="34">
        <f t="shared" si="19"/>
        <v>0.00018921211014068034</v>
      </c>
      <c r="U41" s="34">
        <f t="shared" si="20"/>
        <v>0.33169872727472255</v>
      </c>
      <c r="W41" s="34">
        <f t="shared" si="21"/>
        <v>0.2653589818197781</v>
      </c>
      <c r="Y41" s="34">
        <f t="shared" si="22"/>
        <v>0.6681120606151368</v>
      </c>
      <c r="AA41" s="9">
        <f t="shared" si="23"/>
        <v>1</v>
      </c>
      <c r="AB41" s="16"/>
      <c r="AC41" s="49"/>
      <c r="AE41" s="36">
        <f t="shared" si="5"/>
        <v>704.1771988483449</v>
      </c>
      <c r="AG41" s="36">
        <f t="shared" si="6"/>
        <v>7882.288304745536</v>
      </c>
      <c r="AI41" s="36">
        <f t="shared" si="7"/>
        <v>0</v>
      </c>
      <c r="AK41" s="36">
        <f t="shared" si="8"/>
        <v>0</v>
      </c>
      <c r="AL41" s="16"/>
      <c r="AN41" s="36">
        <f t="shared" si="9"/>
        <v>8586.465503593881</v>
      </c>
      <c r="AO41" s="16"/>
      <c r="AP41" s="49"/>
      <c r="AR41" s="45">
        <f t="shared" si="10"/>
        <v>6.423317651325324E-05</v>
      </c>
      <c r="AT41" s="45">
        <f t="shared" si="11"/>
        <v>0.09149084639436782</v>
      </c>
      <c r="AV41" s="45">
        <f t="shared" si="12"/>
        <v>-0.011260411863922196</v>
      </c>
      <c r="AW41" s="16"/>
      <c r="AY41" s="45">
        <f t="shared" si="13"/>
        <v>0.08029466770695888</v>
      </c>
      <c r="AZ41" s="16"/>
    </row>
    <row r="42" spans="1:52" ht="15">
      <c r="A42" s="16"/>
      <c r="C42" s="4">
        <f t="shared" si="0"/>
        <v>70</v>
      </c>
      <c r="D42" s="4"/>
      <c r="E42" s="4">
        <v>30</v>
      </c>
      <c r="F42" s="16"/>
      <c r="G42" s="49"/>
      <c r="I42" s="35">
        <f t="shared" si="1"/>
        <v>0.06</v>
      </c>
      <c r="K42" s="35">
        <f t="shared" si="2"/>
        <v>0.1</v>
      </c>
      <c r="M42" s="35">
        <f t="shared" si="3"/>
        <v>0.4</v>
      </c>
      <c r="O42" s="35">
        <f t="shared" si="4"/>
        <v>0.8</v>
      </c>
      <c r="P42" s="16"/>
      <c r="Q42" s="49"/>
      <c r="S42" s="34">
        <f t="shared" si="19"/>
        <v>0.00010501272112807758</v>
      </c>
      <c r="U42" s="34">
        <f t="shared" si="20"/>
        <v>0.3002611409065788</v>
      </c>
      <c r="W42" s="34">
        <f t="shared" si="21"/>
        <v>0.24020891272526304</v>
      </c>
      <c r="Y42" s="34">
        <f t="shared" si="22"/>
        <v>0.6996338463722933</v>
      </c>
      <c r="AA42" s="9">
        <f t="shared" si="23"/>
        <v>1.0000000000000002</v>
      </c>
      <c r="AB42" s="16"/>
      <c r="AC42" s="49"/>
      <c r="AE42" s="36">
        <f t="shared" si="5"/>
        <v>618.73439150668</v>
      </c>
      <c r="AG42" s="36">
        <f t="shared" si="6"/>
        <v>6927.402409236429</v>
      </c>
      <c r="AI42" s="36">
        <f t="shared" si="7"/>
        <v>0</v>
      </c>
      <c r="AK42" s="36">
        <f t="shared" si="8"/>
        <v>0</v>
      </c>
      <c r="AL42" s="16"/>
      <c r="AN42" s="36">
        <f t="shared" si="9"/>
        <v>7546.136800743109</v>
      </c>
      <c r="AO42" s="16"/>
      <c r="AP42" s="49"/>
      <c r="AR42" s="45">
        <f t="shared" si="10"/>
        <v>3.4611080548403435E-05</v>
      </c>
      <c r="AT42" s="45">
        <f t="shared" si="11"/>
        <v>0.08040734939292284</v>
      </c>
      <c r="AV42" s="45">
        <f t="shared" si="12"/>
        <v>-0.009896289156052042</v>
      </c>
      <c r="AW42" s="16"/>
      <c r="AY42" s="45">
        <f t="shared" si="13"/>
        <v>0.0705456713174192</v>
      </c>
      <c r="AZ42" s="16"/>
    </row>
    <row r="43" spans="1:52" ht="15">
      <c r="A43" s="16"/>
      <c r="C43" s="4">
        <f t="shared" si="0"/>
        <v>71</v>
      </c>
      <c r="D43" s="4"/>
      <c r="E43" s="4">
        <v>31</v>
      </c>
      <c r="F43" s="16"/>
      <c r="G43" s="49"/>
      <c r="I43" s="35">
        <f t="shared" si="1"/>
        <v>0.065</v>
      </c>
      <c r="K43" s="35">
        <f t="shared" si="2"/>
        <v>0.105</v>
      </c>
      <c r="M43" s="35">
        <f t="shared" si="3"/>
        <v>0.41</v>
      </c>
      <c r="O43" s="35">
        <f t="shared" si="4"/>
        <v>0.8</v>
      </c>
      <c r="P43" s="16"/>
      <c r="Q43" s="49"/>
      <c r="S43" s="34">
        <f t="shared" si="19"/>
        <v>5.6706869409161894E-05</v>
      </c>
      <c r="U43" s="34">
        <f t="shared" si="20"/>
        <v>0.2702770319043722</v>
      </c>
      <c r="W43" s="34">
        <f t="shared" si="21"/>
        <v>0.21622162552349777</v>
      </c>
      <c r="Y43" s="34">
        <f t="shared" si="22"/>
        <v>0.7296662612262189</v>
      </c>
      <c r="AA43" s="9">
        <f t="shared" si="23"/>
        <v>1.0000000000000002</v>
      </c>
      <c r="AB43" s="16"/>
      <c r="AC43" s="49"/>
      <c r="AE43" s="36">
        <f t="shared" si="5"/>
        <v>540.6501020642226</v>
      </c>
      <c r="AG43" s="36">
        <f t="shared" si="6"/>
        <v>6054.010950066157</v>
      </c>
      <c r="AI43" s="36">
        <f t="shared" si="7"/>
        <v>0</v>
      </c>
      <c r="AK43" s="36">
        <f t="shared" si="8"/>
        <v>0</v>
      </c>
      <c r="AL43" s="16"/>
      <c r="AN43" s="36">
        <f t="shared" si="9"/>
        <v>6594.66105213038</v>
      </c>
      <c r="AO43" s="16"/>
      <c r="AP43" s="49"/>
      <c r="AR43" s="45">
        <f t="shared" si="10"/>
        <v>1.8145615044794032E-05</v>
      </c>
      <c r="AT43" s="45">
        <f t="shared" si="11"/>
        <v>0.07026976995612504</v>
      </c>
      <c r="AV43" s="45">
        <f t="shared" si="12"/>
        <v>-0.008648587071523082</v>
      </c>
      <c r="AW43" s="16"/>
      <c r="AY43" s="45">
        <f t="shared" si="13"/>
        <v>0.06163932849964675</v>
      </c>
      <c r="AZ43" s="16"/>
    </row>
    <row r="44" spans="1:52" ht="15">
      <c r="A44" s="16"/>
      <c r="C44" s="4">
        <f aca="true" t="shared" si="24" ref="C44:C75">start_age+cycle</f>
        <v>72</v>
      </c>
      <c r="D44" s="4"/>
      <c r="E44" s="4">
        <v>32</v>
      </c>
      <c r="F44" s="16"/>
      <c r="G44" s="49"/>
      <c r="I44" s="35">
        <f aca="true" t="shared" si="25" ref="I44:I75">VLOOKUP(age,prob_die_healthy,2)</f>
        <v>0.07</v>
      </c>
      <c r="K44" s="35">
        <f aca="true" t="shared" si="26" ref="K44:K75">VLOOKUP(age,prob_die_disease,2)</f>
        <v>0.11</v>
      </c>
      <c r="M44" s="35">
        <f aca="true" t="shared" si="27" ref="M44:M75">VLOOKUP(age,prob_disease,2)</f>
        <v>0.42</v>
      </c>
      <c r="O44" s="35">
        <f aca="true" t="shared" si="28" ref="O44:O75">VLOOKUP(age,prob_hosp_disease,2)</f>
        <v>0.8</v>
      </c>
      <c r="P44" s="16"/>
      <c r="Q44" s="49"/>
      <c r="S44" s="34">
        <f t="shared" si="19"/>
        <v>2.9771106439809996E-05</v>
      </c>
      <c r="U44" s="34">
        <f t="shared" si="20"/>
        <v>0.24192119337087084</v>
      </c>
      <c r="W44" s="34">
        <f t="shared" si="21"/>
        <v>0.19353695469669668</v>
      </c>
      <c r="Y44" s="34">
        <f t="shared" si="22"/>
        <v>0.7580490355226895</v>
      </c>
      <c r="AA44" s="9">
        <f t="shared" si="23"/>
        <v>1.0000000000000002</v>
      </c>
      <c r="AB44" s="16"/>
      <c r="AC44" s="49"/>
      <c r="AE44" s="36">
        <f aca="true" t="shared" si="29" ref="AE44:AE75">(S44*Cost_old_drug+U44*Cost_old_drug)/(1+Discount_Rate)^cycle</f>
        <v>469.79259975848584</v>
      </c>
      <c r="AG44" s="36">
        <f aca="true" t="shared" si="30" ref="AG44:AG75">(W44*Cost_hospitalization)/(1+Discount_Rate)^cycle</f>
        <v>5261.029688797084</v>
      </c>
      <c r="AI44" s="36">
        <f aca="true" t="shared" si="31" ref="AI44:AI75">IF(study_perspective=1,0,IF(age&lt;65,(W44*length_of_stay*Cost_hospitalization)/(1+Discount_Rate)^cycle,0))</f>
        <v>0</v>
      </c>
      <c r="AK44" s="36">
        <f aca="true" t="shared" si="32" ref="AK44:AK75">IF(study_perspective=1,0,IF(age&lt;65,(Y44*mean_annual_wage)/(1+Discount_Rate)^cycle,0))</f>
        <v>0</v>
      </c>
      <c r="AL44" s="16"/>
      <c r="AN44" s="36">
        <f aca="true" t="shared" si="33" ref="AN44:AN75">AE44+AG44+AI44+AK44</f>
        <v>5730.822288555571</v>
      </c>
      <c r="AO44" s="16"/>
      <c r="AP44" s="49"/>
      <c r="AR44" s="45">
        <f aca="true" t="shared" si="34" ref="AR44:AR75">S44*Utility_healthy/(1+Discount_Rate)^cycle</f>
        <v>9.248978542249387E-06</v>
      </c>
      <c r="AT44" s="45">
        <f aca="true" t="shared" si="35" ref="AT44:AT75">U44*Utility_disease/(1+Discount_Rate)^cycle</f>
        <v>0.06106552317353758</v>
      </c>
      <c r="AV44" s="45">
        <f aca="true" t="shared" si="36" ref="AV44:AV75">W44*-Utility_decrement_hospitalization/(1+Discount_Rate)^cycle</f>
        <v>-0.007515756698281548</v>
      </c>
      <c r="AW44" s="16"/>
      <c r="AY44" s="45">
        <f t="shared" si="13"/>
        <v>0.05355901545379828</v>
      </c>
      <c r="AZ44" s="16"/>
    </row>
    <row r="45" spans="1:52" ht="15">
      <c r="A45" s="16"/>
      <c r="C45" s="4">
        <f t="shared" si="24"/>
        <v>73</v>
      </c>
      <c r="D45" s="4"/>
      <c r="E45" s="4">
        <v>33</v>
      </c>
      <c r="F45" s="16"/>
      <c r="G45" s="49"/>
      <c r="I45" s="35">
        <f t="shared" si="25"/>
        <v>0.075</v>
      </c>
      <c r="K45" s="35">
        <f t="shared" si="26"/>
        <v>0.115</v>
      </c>
      <c r="M45" s="35">
        <f t="shared" si="27"/>
        <v>0.43</v>
      </c>
      <c r="O45" s="35">
        <f t="shared" si="28"/>
        <v>0.8</v>
      </c>
      <c r="P45" s="16"/>
      <c r="Q45" s="49"/>
      <c r="S45" s="34">
        <f t="shared" si="19"/>
        <v>1.5183264284303098E-05</v>
      </c>
      <c r="U45" s="34">
        <f t="shared" si="20"/>
        <v>0.21532236596477977</v>
      </c>
      <c r="W45" s="34">
        <f t="shared" si="21"/>
        <v>0.17225789277182382</v>
      </c>
      <c r="Y45" s="34">
        <f t="shared" si="22"/>
        <v>0.7846624507709362</v>
      </c>
      <c r="AA45" s="9">
        <f t="shared" si="23"/>
        <v>1.0000000000000002</v>
      </c>
      <c r="AB45" s="16"/>
      <c r="AC45" s="49"/>
      <c r="AE45" s="36">
        <f t="shared" si="29"/>
        <v>405.93953983464854</v>
      </c>
      <c r="AG45" s="36">
        <f t="shared" si="30"/>
        <v>4546.20227475587</v>
      </c>
      <c r="AI45" s="36">
        <f t="shared" si="31"/>
        <v>0</v>
      </c>
      <c r="AK45" s="36">
        <f t="shared" si="32"/>
        <v>0</v>
      </c>
      <c r="AL45" s="16"/>
      <c r="AN45" s="36">
        <f t="shared" si="33"/>
        <v>4952.141814590519</v>
      </c>
      <c r="AO45" s="16"/>
      <c r="AP45" s="49"/>
      <c r="AR45" s="45">
        <f t="shared" si="34"/>
        <v>4.579591317036104E-06</v>
      </c>
      <c r="AT45" s="45">
        <f t="shared" si="35"/>
        <v>0.05276841926055921</v>
      </c>
      <c r="AV45" s="45">
        <f t="shared" si="36"/>
        <v>-0.006494574678222673</v>
      </c>
      <c r="AW45" s="16"/>
      <c r="AY45" s="45">
        <f t="shared" si="13"/>
        <v>0.04627842417365357</v>
      </c>
      <c r="AZ45" s="16"/>
    </row>
    <row r="46" spans="1:52" ht="15">
      <c r="A46" s="16"/>
      <c r="C46" s="4">
        <f t="shared" si="24"/>
        <v>74</v>
      </c>
      <c r="D46" s="4"/>
      <c r="E46" s="4">
        <v>34</v>
      </c>
      <c r="F46" s="16"/>
      <c r="G46" s="49"/>
      <c r="I46" s="35">
        <f t="shared" si="25"/>
        <v>0.08</v>
      </c>
      <c r="K46" s="35">
        <f t="shared" si="26"/>
        <v>0.12</v>
      </c>
      <c r="M46" s="35">
        <f t="shared" si="27"/>
        <v>0.44</v>
      </c>
      <c r="O46" s="35">
        <f t="shared" si="28"/>
        <v>0.8</v>
      </c>
      <c r="P46" s="16"/>
      <c r="Q46" s="49"/>
      <c r="S46" s="34">
        <f t="shared" si="19"/>
        <v>7.515715820730034E-06</v>
      </c>
      <c r="U46" s="34">
        <f t="shared" si="20"/>
        <v>0.19056682268247233</v>
      </c>
      <c r="W46" s="34">
        <f t="shared" si="21"/>
        <v>0.15245345814597788</v>
      </c>
      <c r="Y46" s="34">
        <f t="shared" si="22"/>
        <v>0.8094256616017073</v>
      </c>
      <c r="AA46" s="9">
        <f t="shared" si="23"/>
        <v>1.0000000000000002</v>
      </c>
      <c r="AB46" s="16"/>
      <c r="AC46" s="49"/>
      <c r="AE46" s="36">
        <f t="shared" si="29"/>
        <v>348.79382296261474</v>
      </c>
      <c r="AG46" s="36">
        <f t="shared" si="30"/>
        <v>3906.3367561724162</v>
      </c>
      <c r="AI46" s="36">
        <f t="shared" si="31"/>
        <v>0</v>
      </c>
      <c r="AK46" s="36">
        <f t="shared" si="32"/>
        <v>0</v>
      </c>
      <c r="AL46" s="16"/>
      <c r="AN46" s="36">
        <f t="shared" si="33"/>
        <v>4255.130579135031</v>
      </c>
      <c r="AO46" s="16"/>
      <c r="AP46" s="49"/>
      <c r="AR46" s="45">
        <f t="shared" si="34"/>
        <v>2.2008715552746333E-06</v>
      </c>
      <c r="AT46" s="45">
        <f t="shared" si="35"/>
        <v>0.04534140877700126</v>
      </c>
      <c r="AV46" s="45">
        <f t="shared" si="36"/>
        <v>-0.00558048108024631</v>
      </c>
      <c r="AW46" s="16"/>
      <c r="AY46" s="45">
        <f t="shared" si="13"/>
        <v>0.03976312856831023</v>
      </c>
      <c r="AZ46" s="16"/>
    </row>
    <row r="47" spans="1:52" ht="15">
      <c r="A47" s="16"/>
      <c r="C47" s="4">
        <f t="shared" si="24"/>
        <v>75</v>
      </c>
      <c r="D47" s="4"/>
      <c r="E47" s="4">
        <v>35</v>
      </c>
      <c r="F47" s="16"/>
      <c r="G47" s="49"/>
      <c r="I47" s="35">
        <f t="shared" si="25"/>
        <v>0.085</v>
      </c>
      <c r="K47" s="35">
        <f t="shared" si="26"/>
        <v>0.125</v>
      </c>
      <c r="M47" s="35">
        <f t="shared" si="27"/>
        <v>0.45</v>
      </c>
      <c r="O47" s="35">
        <f t="shared" si="28"/>
        <v>0.8</v>
      </c>
      <c r="P47" s="16"/>
      <c r="Q47" s="49"/>
      <c r="S47" s="34">
        <f t="shared" si="19"/>
        <v>3.6075435939504165E-06</v>
      </c>
      <c r="U47" s="34">
        <f t="shared" si="20"/>
        <v>0.16770211087553677</v>
      </c>
      <c r="W47" s="34">
        <f t="shared" si="21"/>
        <v>0.1341616887004294</v>
      </c>
      <c r="Y47" s="34">
        <f t="shared" si="22"/>
        <v>0.8322942815808696</v>
      </c>
      <c r="AA47" s="9">
        <f t="shared" si="23"/>
        <v>1.0000000000000004</v>
      </c>
      <c r="AB47" s="16"/>
      <c r="AC47" s="49"/>
      <c r="AE47" s="36">
        <f t="shared" si="29"/>
        <v>297.99914021843665</v>
      </c>
      <c r="AG47" s="36">
        <f t="shared" si="30"/>
        <v>3337.518575024881</v>
      </c>
      <c r="AI47" s="36">
        <f t="shared" si="31"/>
        <v>0</v>
      </c>
      <c r="AK47" s="36">
        <f t="shared" si="32"/>
        <v>0</v>
      </c>
      <c r="AL47" s="16"/>
      <c r="AN47" s="36">
        <f t="shared" si="33"/>
        <v>3635.517715243318</v>
      </c>
      <c r="AO47" s="16"/>
      <c r="AP47" s="49"/>
      <c r="AR47" s="45">
        <f t="shared" si="34"/>
        <v>1.0256488801279844E-06</v>
      </c>
      <c r="AT47" s="45">
        <f t="shared" si="35"/>
        <v>0.03873905488868166</v>
      </c>
      <c r="AV47" s="45">
        <f t="shared" si="36"/>
        <v>-0.004767883678606973</v>
      </c>
      <c r="AW47" s="16"/>
      <c r="AY47" s="45">
        <f t="shared" si="13"/>
        <v>0.033972196858954806</v>
      </c>
      <c r="AZ47" s="16"/>
    </row>
    <row r="48" spans="1:52" ht="15">
      <c r="A48" s="16"/>
      <c r="C48" s="4">
        <f t="shared" si="24"/>
        <v>76</v>
      </c>
      <c r="D48" s="4"/>
      <c r="E48" s="4">
        <v>36</v>
      </c>
      <c r="F48" s="16"/>
      <c r="G48" s="49"/>
      <c r="I48" s="35">
        <f t="shared" si="25"/>
        <v>0.09</v>
      </c>
      <c r="K48" s="35">
        <f t="shared" si="26"/>
        <v>0.13</v>
      </c>
      <c r="M48" s="35">
        <f t="shared" si="27"/>
        <v>0.46</v>
      </c>
      <c r="O48" s="35">
        <f t="shared" si="28"/>
        <v>0.8</v>
      </c>
      <c r="P48" s="16"/>
      <c r="Q48" s="49"/>
      <c r="S48" s="34">
        <f t="shared" si="19"/>
        <v>1.6775077711869435E-06</v>
      </c>
      <c r="U48" s="34">
        <f t="shared" si="20"/>
        <v>0.14674097041071196</v>
      </c>
      <c r="W48" s="34">
        <f t="shared" si="21"/>
        <v>0.11739277632856958</v>
      </c>
      <c r="Y48" s="34">
        <f t="shared" si="22"/>
        <v>0.8532573520815172</v>
      </c>
      <c r="AA48" s="9">
        <f t="shared" si="23"/>
        <v>1.0000000000000004</v>
      </c>
      <c r="AB48" s="16"/>
      <c r="AC48" s="49"/>
      <c r="AE48" s="36">
        <f t="shared" si="29"/>
        <v>253.15485835276903</v>
      </c>
      <c r="AG48" s="36">
        <f t="shared" si="30"/>
        <v>2835.3020010548507</v>
      </c>
      <c r="AI48" s="36">
        <f t="shared" si="31"/>
        <v>0</v>
      </c>
      <c r="AK48" s="36">
        <f t="shared" si="32"/>
        <v>0</v>
      </c>
      <c r="AL48" s="16"/>
      <c r="AN48" s="36">
        <f t="shared" si="33"/>
        <v>3088.45685940762</v>
      </c>
      <c r="AO48" s="16"/>
      <c r="AP48" s="49"/>
      <c r="AR48" s="45">
        <f t="shared" si="34"/>
        <v>4.6303565947525507E-07</v>
      </c>
      <c r="AT48" s="45">
        <f t="shared" si="35"/>
        <v>0.03290975536938665</v>
      </c>
      <c r="AV48" s="45">
        <f t="shared" si="36"/>
        <v>-0.004050431430078358</v>
      </c>
      <c r="AW48" s="16"/>
      <c r="AY48" s="45">
        <f t="shared" si="13"/>
        <v>0.028859786974967768</v>
      </c>
      <c r="AZ48" s="16"/>
    </row>
    <row r="49" spans="1:52" ht="15">
      <c r="A49" s="16"/>
      <c r="C49" s="4">
        <f t="shared" si="24"/>
        <v>77</v>
      </c>
      <c r="D49" s="4"/>
      <c r="E49" s="4">
        <v>37</v>
      </c>
      <c r="F49" s="16"/>
      <c r="G49" s="49"/>
      <c r="I49" s="35">
        <f t="shared" si="25"/>
        <v>0.095</v>
      </c>
      <c r="K49" s="35">
        <f t="shared" si="26"/>
        <v>0.135</v>
      </c>
      <c r="M49" s="35">
        <f t="shared" si="27"/>
        <v>0.47</v>
      </c>
      <c r="O49" s="35">
        <f t="shared" si="28"/>
        <v>0.8</v>
      </c>
      <c r="P49" s="16"/>
      <c r="Q49" s="49"/>
      <c r="S49" s="34">
        <f t="shared" si="19"/>
        <v>7.548784970341245E-07</v>
      </c>
      <c r="U49" s="34">
        <f t="shared" si="20"/>
        <v>0.12766541591089414</v>
      </c>
      <c r="W49" s="34">
        <f t="shared" si="21"/>
        <v>0.10213233272871532</v>
      </c>
      <c r="Y49" s="34">
        <f t="shared" si="22"/>
        <v>0.8723338292106092</v>
      </c>
      <c r="AA49" s="9">
        <f t="shared" si="23"/>
        <v>1.0000000000000004</v>
      </c>
      <c r="AB49" s="16"/>
      <c r="AC49" s="49"/>
      <c r="AE49" s="36">
        <f t="shared" si="29"/>
        <v>213.8299441998291</v>
      </c>
      <c r="AG49" s="36">
        <f t="shared" si="30"/>
        <v>2394.881214238791</v>
      </c>
      <c r="AI49" s="36">
        <f t="shared" si="31"/>
        <v>0</v>
      </c>
      <c r="AK49" s="36">
        <f t="shared" si="32"/>
        <v>0</v>
      </c>
      <c r="AL49" s="16"/>
      <c r="AN49" s="36">
        <f t="shared" si="33"/>
        <v>2608.7111584386203</v>
      </c>
      <c r="AO49" s="16"/>
      <c r="AP49" s="49"/>
      <c r="AR49" s="45">
        <f t="shared" si="34"/>
        <v>2.0229713278045124E-07</v>
      </c>
      <c r="AT49" s="45">
        <f t="shared" si="35"/>
        <v>0.0277977283795574</v>
      </c>
      <c r="AV49" s="45">
        <f t="shared" si="36"/>
        <v>-0.0034212588774839878</v>
      </c>
      <c r="AW49" s="16"/>
      <c r="AY49" s="45">
        <f t="shared" si="13"/>
        <v>0.024376671799206193</v>
      </c>
      <c r="AZ49" s="16"/>
    </row>
    <row r="50" spans="1:52" ht="15">
      <c r="A50" s="16"/>
      <c r="C50" s="4">
        <f t="shared" si="24"/>
        <v>78</v>
      </c>
      <c r="D50" s="4"/>
      <c r="E50" s="4">
        <v>38</v>
      </c>
      <c r="F50" s="16"/>
      <c r="G50" s="49"/>
      <c r="I50" s="35">
        <f t="shared" si="25"/>
        <v>0.1</v>
      </c>
      <c r="K50" s="35">
        <f t="shared" si="26"/>
        <v>0.14</v>
      </c>
      <c r="M50" s="35">
        <f t="shared" si="27"/>
        <v>0.48</v>
      </c>
      <c r="O50" s="35">
        <f t="shared" si="28"/>
        <v>0.8</v>
      </c>
      <c r="P50" s="16"/>
      <c r="Q50" s="49"/>
      <c r="S50" s="34">
        <f t="shared" si="19"/>
        <v>3.2837214620984423E-07</v>
      </c>
      <c r="U50" s="34">
        <f t="shared" si="20"/>
        <v>0.11043093955581705</v>
      </c>
      <c r="W50" s="34">
        <f t="shared" si="21"/>
        <v>0.08834475164465365</v>
      </c>
      <c r="Y50" s="34">
        <f t="shared" si="22"/>
        <v>0.8895687320720371</v>
      </c>
      <c r="AA50" s="9">
        <f t="shared" si="23"/>
        <v>1.0000000000000004</v>
      </c>
      <c r="AB50" s="16"/>
      <c r="AC50" s="49"/>
      <c r="AE50" s="36">
        <f t="shared" si="29"/>
        <v>179.57568185158775</v>
      </c>
      <c r="AG50" s="36">
        <f t="shared" si="30"/>
        <v>2011.2416562060419</v>
      </c>
      <c r="AI50" s="36">
        <f t="shared" si="31"/>
        <v>0</v>
      </c>
      <c r="AK50" s="36">
        <f t="shared" si="32"/>
        <v>0</v>
      </c>
      <c r="AL50" s="16"/>
      <c r="AN50" s="36">
        <f t="shared" si="33"/>
        <v>2190.8173380576295</v>
      </c>
      <c r="AO50" s="16"/>
      <c r="AP50" s="49"/>
      <c r="AR50" s="45">
        <f t="shared" si="34"/>
        <v>8.543616772766632E-08</v>
      </c>
      <c r="AT50" s="45">
        <f t="shared" si="35"/>
        <v>0.023344769223820127</v>
      </c>
      <c r="AV50" s="45">
        <f t="shared" si="36"/>
        <v>-0.002873202366008631</v>
      </c>
      <c r="AW50" s="16"/>
      <c r="AY50" s="45">
        <f t="shared" si="13"/>
        <v>0.020471652293979223</v>
      </c>
      <c r="AZ50" s="16"/>
    </row>
    <row r="51" spans="1:52" ht="15">
      <c r="A51" s="16"/>
      <c r="C51" s="4">
        <f t="shared" si="24"/>
        <v>79</v>
      </c>
      <c r="D51" s="4"/>
      <c r="E51" s="4">
        <v>39</v>
      </c>
      <c r="F51" s="16"/>
      <c r="G51" s="49"/>
      <c r="I51" s="35">
        <f t="shared" si="25"/>
        <v>0.105</v>
      </c>
      <c r="K51" s="35">
        <f t="shared" si="26"/>
        <v>0.145</v>
      </c>
      <c r="M51" s="35">
        <f t="shared" si="27"/>
        <v>0.49</v>
      </c>
      <c r="O51" s="35">
        <f t="shared" si="28"/>
        <v>0.8</v>
      </c>
      <c r="P51" s="16"/>
      <c r="Q51" s="49"/>
      <c r="S51" s="34">
        <f t="shared" si="19"/>
        <v>1.379163014081346E-07</v>
      </c>
      <c r="U51" s="34">
        <f t="shared" si="20"/>
        <v>0.09497076563663284</v>
      </c>
      <c r="W51" s="34">
        <f t="shared" si="21"/>
        <v>0.07597661250930628</v>
      </c>
      <c r="Y51" s="34">
        <f t="shared" si="22"/>
        <v>0.9050290964470661</v>
      </c>
      <c r="AA51" s="9">
        <f t="shared" si="23"/>
        <v>1.0000000000000004</v>
      </c>
      <c r="AB51" s="16"/>
      <c r="AC51" s="49"/>
      <c r="AE51" s="36">
        <f t="shared" si="29"/>
        <v>149.93699781690037</v>
      </c>
      <c r="AG51" s="36">
        <f t="shared" si="30"/>
        <v>1679.2919368858556</v>
      </c>
      <c r="AI51" s="36">
        <f t="shared" si="31"/>
        <v>0</v>
      </c>
      <c r="AK51" s="36">
        <f t="shared" si="32"/>
        <v>0</v>
      </c>
      <c r="AL51" s="16"/>
      <c r="AN51" s="36">
        <f t="shared" si="33"/>
        <v>1829.228934702756</v>
      </c>
      <c r="AO51" s="16"/>
      <c r="AP51" s="49"/>
      <c r="AR51" s="45">
        <f t="shared" si="34"/>
        <v>3.483804897632995E-08</v>
      </c>
      <c r="AT51" s="45">
        <f t="shared" si="35"/>
        <v>0.019491781410282252</v>
      </c>
      <c r="AV51" s="45">
        <f t="shared" si="36"/>
        <v>-0.0023989884812655082</v>
      </c>
      <c r="AW51" s="16"/>
      <c r="AY51" s="45">
        <f t="shared" si="13"/>
        <v>0.01709282776706572</v>
      </c>
      <c r="AZ51" s="16"/>
    </row>
    <row r="52" spans="1:52" ht="15">
      <c r="A52" s="16"/>
      <c r="C52" s="4">
        <f t="shared" si="24"/>
        <v>80</v>
      </c>
      <c r="D52" s="4"/>
      <c r="E52" s="4">
        <v>40</v>
      </c>
      <c r="F52" s="16"/>
      <c r="G52" s="49"/>
      <c r="I52" s="35">
        <f t="shared" si="25"/>
        <v>0.11</v>
      </c>
      <c r="K52" s="35">
        <f t="shared" si="26"/>
        <v>0.15</v>
      </c>
      <c r="M52" s="35">
        <f t="shared" si="27"/>
        <v>0.5</v>
      </c>
      <c r="O52" s="35">
        <f t="shared" si="28"/>
        <v>0.9</v>
      </c>
      <c r="P52" s="16"/>
      <c r="Q52" s="49"/>
      <c r="S52" s="34">
        <f t="shared" si="19"/>
        <v>5.5856102070294517E-08</v>
      </c>
      <c r="U52" s="34">
        <f t="shared" si="20"/>
        <v>0.08120007219830877</v>
      </c>
      <c r="W52" s="34">
        <f t="shared" si="21"/>
        <v>0.0730800649784779</v>
      </c>
      <c r="Y52" s="34">
        <f t="shared" si="22"/>
        <v>0.9187998719455895</v>
      </c>
      <c r="AA52" s="9">
        <f t="shared" si="23"/>
        <v>1.0000000000000004</v>
      </c>
      <c r="AB52" s="16"/>
      <c r="AC52" s="49"/>
      <c r="AE52" s="36">
        <f t="shared" si="29"/>
        <v>124.46227363394377</v>
      </c>
      <c r="AG52" s="36">
        <f t="shared" si="30"/>
        <v>1568.2235690342695</v>
      </c>
      <c r="AI52" s="36">
        <f t="shared" si="31"/>
        <v>0</v>
      </c>
      <c r="AK52" s="36">
        <f t="shared" si="32"/>
        <v>0</v>
      </c>
      <c r="AL52" s="16"/>
      <c r="AN52" s="36">
        <f t="shared" si="33"/>
        <v>1692.6858426682134</v>
      </c>
      <c r="AO52" s="16"/>
      <c r="AP52" s="49"/>
      <c r="AR52" s="45">
        <f t="shared" si="34"/>
        <v>1.3698456150887026E-08</v>
      </c>
      <c r="AT52" s="45">
        <f t="shared" si="35"/>
        <v>0.016180084442417066</v>
      </c>
      <c r="AV52" s="45">
        <f t="shared" si="36"/>
        <v>-0.0022403193843346706</v>
      </c>
      <c r="AW52" s="16"/>
      <c r="AY52" s="45">
        <f t="shared" si="13"/>
        <v>0.013939778756538545</v>
      </c>
      <c r="AZ52" s="16"/>
    </row>
    <row r="53" spans="1:52" ht="15">
      <c r="A53" s="16"/>
      <c r="C53" s="4">
        <f t="shared" si="24"/>
        <v>81</v>
      </c>
      <c r="D53" s="4"/>
      <c r="E53" s="4">
        <v>41</v>
      </c>
      <c r="F53" s="16"/>
      <c r="G53" s="49"/>
      <c r="I53" s="35">
        <f t="shared" si="25"/>
        <v>0.115</v>
      </c>
      <c r="K53" s="35">
        <f t="shared" si="26"/>
        <v>0.155</v>
      </c>
      <c r="M53" s="35">
        <f t="shared" si="27"/>
        <v>0.51</v>
      </c>
      <c r="O53" s="35">
        <f t="shared" si="28"/>
        <v>0.9</v>
      </c>
      <c r="P53" s="16"/>
      <c r="Q53" s="49"/>
      <c r="S53" s="34">
        <f t="shared" si="19"/>
        <v>2.1783879807414863E-08</v>
      </c>
      <c r="U53" s="34">
        <f t="shared" si="20"/>
        <v>0.06902008929661349</v>
      </c>
      <c r="W53" s="34">
        <f t="shared" si="21"/>
        <v>0.06211808036695214</v>
      </c>
      <c r="Y53" s="34">
        <f t="shared" si="22"/>
        <v>0.9309798889195071</v>
      </c>
      <c r="AA53" s="9">
        <f t="shared" si="23"/>
        <v>1.0000000000000004</v>
      </c>
      <c r="AB53" s="16"/>
      <c r="AC53" s="49"/>
      <c r="AE53" s="36">
        <f t="shared" si="29"/>
        <v>102.71158836258857</v>
      </c>
      <c r="AG53" s="36">
        <f t="shared" si="30"/>
        <v>1294.1656049085825</v>
      </c>
      <c r="AI53" s="36">
        <f t="shared" si="31"/>
        <v>0</v>
      </c>
      <c r="AK53" s="36">
        <f t="shared" si="32"/>
        <v>0</v>
      </c>
      <c r="AL53" s="16"/>
      <c r="AN53" s="36">
        <f t="shared" si="33"/>
        <v>1396.877193271171</v>
      </c>
      <c r="AO53" s="16"/>
      <c r="AP53" s="49"/>
      <c r="AR53" s="45">
        <f t="shared" si="34"/>
        <v>5.186794076549456E-09</v>
      </c>
      <c r="AT53" s="45">
        <f t="shared" si="35"/>
        <v>0.013352502272866327</v>
      </c>
      <c r="AV53" s="45">
        <f t="shared" si="36"/>
        <v>-0.0018488080070122607</v>
      </c>
      <c r="AW53" s="16"/>
      <c r="AY53" s="45">
        <f t="shared" si="13"/>
        <v>0.011503699452648142</v>
      </c>
      <c r="AZ53" s="16"/>
    </row>
    <row r="54" spans="1:52" ht="15">
      <c r="A54" s="16"/>
      <c r="C54" s="4">
        <f t="shared" si="24"/>
        <v>82</v>
      </c>
      <c r="D54" s="4"/>
      <c r="E54" s="4">
        <v>42</v>
      </c>
      <c r="F54" s="16"/>
      <c r="G54" s="49"/>
      <c r="I54" s="35">
        <f t="shared" si="25"/>
        <v>0.12</v>
      </c>
      <c r="K54" s="35">
        <f t="shared" si="26"/>
        <v>0.16</v>
      </c>
      <c r="M54" s="35">
        <f t="shared" si="27"/>
        <v>0.52</v>
      </c>
      <c r="O54" s="35">
        <f t="shared" si="28"/>
        <v>0.9</v>
      </c>
      <c r="P54" s="16"/>
      <c r="Q54" s="49"/>
      <c r="S54" s="34">
        <f t="shared" si="19"/>
        <v>8.168954927780574E-09</v>
      </c>
      <c r="U54" s="34">
        <f t="shared" si="20"/>
        <v>0.05832198656541711</v>
      </c>
      <c r="W54" s="34">
        <f t="shared" si="21"/>
        <v>0.0524897879088754</v>
      </c>
      <c r="Y54" s="34">
        <f t="shared" si="22"/>
        <v>0.9416780052656284</v>
      </c>
      <c r="AA54" s="9">
        <f t="shared" si="23"/>
        <v>1.0000000000000004</v>
      </c>
      <c r="AB54" s="16"/>
      <c r="AC54" s="49"/>
      <c r="AE54" s="36">
        <f t="shared" si="29"/>
        <v>84.26339171173383</v>
      </c>
      <c r="AG54" s="36">
        <f t="shared" si="30"/>
        <v>1061.7185868566692</v>
      </c>
      <c r="AI54" s="36">
        <f t="shared" si="31"/>
        <v>0</v>
      </c>
      <c r="AK54" s="36">
        <f t="shared" si="32"/>
        <v>0</v>
      </c>
      <c r="AL54" s="16"/>
      <c r="AN54" s="36">
        <f t="shared" si="33"/>
        <v>1145.981978568403</v>
      </c>
      <c r="AO54" s="16"/>
      <c r="AP54" s="49"/>
      <c r="AR54" s="45">
        <f t="shared" si="34"/>
        <v>1.8883959016563553E-09</v>
      </c>
      <c r="AT54" s="45">
        <f t="shared" si="35"/>
        <v>0.01095423938820373</v>
      </c>
      <c r="AV54" s="45">
        <f t="shared" si="36"/>
        <v>-0.0015167408383666707</v>
      </c>
      <c r="AW54" s="16"/>
      <c r="AY54" s="45">
        <f t="shared" si="13"/>
        <v>0.009437500438232962</v>
      </c>
      <c r="AZ54" s="16"/>
    </row>
    <row r="55" spans="1:52" ht="15">
      <c r="A55" s="16"/>
      <c r="C55" s="4">
        <f t="shared" si="24"/>
        <v>83</v>
      </c>
      <c r="D55" s="4"/>
      <c r="E55" s="4">
        <v>43</v>
      </c>
      <c r="F55" s="16"/>
      <c r="G55" s="49"/>
      <c r="I55" s="35">
        <f t="shared" si="25"/>
        <v>0.125</v>
      </c>
      <c r="K55" s="35">
        <f t="shared" si="26"/>
        <v>0.165</v>
      </c>
      <c r="M55" s="35">
        <f t="shared" si="27"/>
        <v>0.53</v>
      </c>
      <c r="O55" s="35">
        <f t="shared" si="28"/>
        <v>0.9</v>
      </c>
      <c r="P55" s="16"/>
      <c r="Q55" s="49"/>
      <c r="S55" s="34">
        <f t="shared" si="19"/>
        <v>2.9408237740010067E-09</v>
      </c>
      <c r="U55" s="34">
        <f t="shared" si="20"/>
        <v>0.04899047296280693</v>
      </c>
      <c r="W55" s="34">
        <f t="shared" si="21"/>
        <v>0.04409142566652624</v>
      </c>
      <c r="Y55" s="34">
        <f t="shared" si="22"/>
        <v>0.9510095240963697</v>
      </c>
      <c r="AA55" s="9">
        <f t="shared" si="23"/>
        <v>1.0000000000000004</v>
      </c>
      <c r="AB55" s="16"/>
      <c r="AC55" s="49"/>
      <c r="AE55" s="36">
        <f t="shared" si="29"/>
        <v>68.71965971840332</v>
      </c>
      <c r="AG55" s="36">
        <f t="shared" si="30"/>
        <v>865.8676604751596</v>
      </c>
      <c r="AI55" s="36">
        <f t="shared" si="31"/>
        <v>0</v>
      </c>
      <c r="AK55" s="36">
        <f t="shared" si="32"/>
        <v>0</v>
      </c>
      <c r="AL55" s="16"/>
      <c r="AN55" s="36">
        <f t="shared" si="33"/>
        <v>934.587320193563</v>
      </c>
      <c r="AO55" s="16"/>
      <c r="AP55" s="49"/>
      <c r="AR55" s="45">
        <f t="shared" si="34"/>
        <v>6.600218685400854E-10</v>
      </c>
      <c r="AT55" s="45">
        <f t="shared" si="35"/>
        <v>0.008933555227124664</v>
      </c>
      <c r="AV55" s="45">
        <f t="shared" si="36"/>
        <v>-0.0012369538006787996</v>
      </c>
      <c r="AW55" s="16"/>
      <c r="AY55" s="45">
        <f t="shared" si="13"/>
        <v>0.007696602086467733</v>
      </c>
      <c r="AZ55" s="16"/>
    </row>
    <row r="56" spans="1:52" ht="15">
      <c r="A56" s="16"/>
      <c r="C56" s="4">
        <f t="shared" si="24"/>
        <v>84</v>
      </c>
      <c r="D56" s="4"/>
      <c r="E56" s="4">
        <v>44</v>
      </c>
      <c r="F56" s="16"/>
      <c r="G56" s="49"/>
      <c r="I56" s="35">
        <f t="shared" si="25"/>
        <v>0.13</v>
      </c>
      <c r="K56" s="35">
        <f t="shared" si="26"/>
        <v>0.17</v>
      </c>
      <c r="M56" s="35">
        <f t="shared" si="27"/>
        <v>0.54</v>
      </c>
      <c r="O56" s="35">
        <f t="shared" si="28"/>
        <v>0.9</v>
      </c>
      <c r="P56" s="16"/>
      <c r="Q56" s="49"/>
      <c r="S56" s="34">
        <f t="shared" si="19"/>
        <v>1.0145842020303472E-09</v>
      </c>
      <c r="U56" s="34">
        <f t="shared" si="20"/>
        <v>0.04090704648258039</v>
      </c>
      <c r="W56" s="34">
        <f t="shared" si="21"/>
        <v>0.03681634183432235</v>
      </c>
      <c r="Y56" s="34">
        <f t="shared" si="22"/>
        <v>0.9590929525028359</v>
      </c>
      <c r="AA56" s="9">
        <f t="shared" si="23"/>
        <v>1.0000000000000004</v>
      </c>
      <c r="AB56" s="16"/>
      <c r="AC56" s="49"/>
      <c r="AE56" s="36">
        <f t="shared" si="29"/>
        <v>55.70962721346819</v>
      </c>
      <c r="AG56" s="36">
        <f t="shared" si="30"/>
        <v>701.9412854800205</v>
      </c>
      <c r="AI56" s="36">
        <f t="shared" si="31"/>
        <v>0</v>
      </c>
      <c r="AK56" s="36">
        <f t="shared" si="32"/>
        <v>0</v>
      </c>
      <c r="AL56" s="16"/>
      <c r="AN56" s="36">
        <f t="shared" si="33"/>
        <v>757.6509126934886</v>
      </c>
      <c r="AO56" s="16"/>
      <c r="AP56" s="49"/>
      <c r="AR56" s="45">
        <f t="shared" si="34"/>
        <v>2.2107528606439752E-10</v>
      </c>
      <c r="AT56" s="45">
        <f t="shared" si="35"/>
        <v>0.007242251358127195</v>
      </c>
      <c r="AV56" s="45">
        <f t="shared" si="36"/>
        <v>-0.0010027732649714577</v>
      </c>
      <c r="AW56" s="16"/>
      <c r="AY56" s="45">
        <f t="shared" si="13"/>
        <v>0.006239478314231023</v>
      </c>
      <c r="AZ56" s="16"/>
    </row>
    <row r="57" spans="1:52" ht="15">
      <c r="A57" s="16"/>
      <c r="C57" s="4">
        <f t="shared" si="24"/>
        <v>85</v>
      </c>
      <c r="D57" s="4"/>
      <c r="E57" s="4">
        <v>45</v>
      </c>
      <c r="F57" s="16"/>
      <c r="G57" s="49"/>
      <c r="I57" s="35">
        <f t="shared" si="25"/>
        <v>0.135</v>
      </c>
      <c r="K57" s="35">
        <f t="shared" si="26"/>
        <v>0.175</v>
      </c>
      <c r="M57" s="35">
        <f t="shared" si="27"/>
        <v>0.55</v>
      </c>
      <c r="O57" s="35">
        <f t="shared" si="28"/>
        <v>0.9</v>
      </c>
      <c r="P57" s="16"/>
      <c r="Q57" s="49"/>
      <c r="S57" s="34">
        <f t="shared" si="19"/>
        <v>3.348127866700145E-10</v>
      </c>
      <c r="U57" s="34">
        <f t="shared" si="20"/>
        <v>0.03395284912841719</v>
      </c>
      <c r="W57" s="34">
        <f t="shared" si="21"/>
        <v>0.03055756421557547</v>
      </c>
      <c r="Y57" s="34">
        <f t="shared" si="22"/>
        <v>0.9660471505367705</v>
      </c>
      <c r="AA57" s="9">
        <f t="shared" si="23"/>
        <v>1.0000000000000004</v>
      </c>
      <c r="AB57" s="16"/>
      <c r="AC57" s="49"/>
      <c r="AE57" s="36">
        <f t="shared" si="29"/>
        <v>44.89222392470623</v>
      </c>
      <c r="AG57" s="36">
        <f t="shared" si="30"/>
        <v>565.6420158734403</v>
      </c>
      <c r="AI57" s="36">
        <f t="shared" si="31"/>
        <v>0</v>
      </c>
      <c r="AK57" s="36">
        <f t="shared" si="32"/>
        <v>0</v>
      </c>
      <c r="AL57" s="16"/>
      <c r="AN57" s="36">
        <f t="shared" si="33"/>
        <v>610.5342397981465</v>
      </c>
      <c r="AO57" s="16"/>
      <c r="AP57" s="49"/>
      <c r="AR57" s="45">
        <f t="shared" si="34"/>
        <v>7.08299460206322E-11</v>
      </c>
      <c r="AT57" s="45">
        <f t="shared" si="35"/>
        <v>0.005835989052662479</v>
      </c>
      <c r="AV57" s="45">
        <f t="shared" si="36"/>
        <v>-0.0008080600226763433</v>
      </c>
      <c r="AW57" s="16"/>
      <c r="AY57" s="45">
        <f t="shared" si="13"/>
        <v>0.005027929100816082</v>
      </c>
      <c r="AZ57" s="16"/>
    </row>
    <row r="58" spans="1:52" ht="15">
      <c r="A58" s="16"/>
      <c r="C58" s="4">
        <f t="shared" si="24"/>
        <v>86</v>
      </c>
      <c r="D58" s="4"/>
      <c r="E58" s="4">
        <v>46</v>
      </c>
      <c r="F58" s="16"/>
      <c r="G58" s="49"/>
      <c r="I58" s="35">
        <f t="shared" si="25"/>
        <v>0.14</v>
      </c>
      <c r="K58" s="35">
        <f t="shared" si="26"/>
        <v>0.18</v>
      </c>
      <c r="M58" s="35">
        <f t="shared" si="27"/>
        <v>0.56</v>
      </c>
      <c r="O58" s="35">
        <f t="shared" si="28"/>
        <v>0.9</v>
      </c>
      <c r="P58" s="16"/>
      <c r="Q58" s="49"/>
      <c r="S58" s="34">
        <f t="shared" si="19"/>
        <v>1.0546602780105454E-10</v>
      </c>
      <c r="U58" s="34">
        <f t="shared" si="20"/>
        <v>0.028011100715091213</v>
      </c>
      <c r="W58" s="34">
        <f t="shared" si="21"/>
        <v>0.025209990643582092</v>
      </c>
      <c r="Y58" s="34">
        <f t="shared" si="22"/>
        <v>0.9719888991794432</v>
      </c>
      <c r="AA58" s="9">
        <f t="shared" si="23"/>
        <v>1.0000000000000004</v>
      </c>
      <c r="AB58" s="16"/>
      <c r="AC58" s="49"/>
      <c r="AE58" s="36">
        <f t="shared" si="29"/>
        <v>35.95736384037877</v>
      </c>
      <c r="AG58" s="36">
        <f t="shared" si="30"/>
        <v>453.06278268292255</v>
      </c>
      <c r="AI58" s="36">
        <f t="shared" si="31"/>
        <v>0</v>
      </c>
      <c r="AK58" s="36">
        <f t="shared" si="32"/>
        <v>0</v>
      </c>
      <c r="AL58" s="16"/>
      <c r="AN58" s="36">
        <f t="shared" si="33"/>
        <v>489.0201465233013</v>
      </c>
      <c r="AO58" s="16"/>
      <c r="AP58" s="49"/>
      <c r="AR58" s="45">
        <f t="shared" si="34"/>
        <v>2.166158543349431E-11</v>
      </c>
      <c r="AT58" s="45">
        <f t="shared" si="35"/>
        <v>0.0046744572816492</v>
      </c>
      <c r="AV58" s="45">
        <f t="shared" si="36"/>
        <v>-0.0006472325466898894</v>
      </c>
      <c r="AW58" s="16"/>
      <c r="AY58" s="45">
        <f t="shared" si="13"/>
        <v>0.004027224756620896</v>
      </c>
      <c r="AZ58" s="16"/>
    </row>
    <row r="59" spans="1:52" ht="15">
      <c r="A59" s="16"/>
      <c r="C59" s="4">
        <f t="shared" si="24"/>
        <v>87</v>
      </c>
      <c r="D59" s="4"/>
      <c r="E59" s="4">
        <v>47</v>
      </c>
      <c r="F59" s="16"/>
      <c r="G59" s="49"/>
      <c r="I59" s="35">
        <f t="shared" si="25"/>
        <v>0.145</v>
      </c>
      <c r="K59" s="35">
        <f t="shared" si="26"/>
        <v>0.185</v>
      </c>
      <c r="M59" s="35">
        <f t="shared" si="27"/>
        <v>0.57</v>
      </c>
      <c r="O59" s="35">
        <f t="shared" si="28"/>
        <v>0.9</v>
      </c>
      <c r="P59" s="16"/>
      <c r="Q59" s="49"/>
      <c r="S59" s="34">
        <f t="shared" si="19"/>
        <v>3.163980834031636E-11</v>
      </c>
      <c r="U59" s="34">
        <f t="shared" si="20"/>
        <v>0.02296910264543577</v>
      </c>
      <c r="W59" s="34">
        <f t="shared" si="21"/>
        <v>0.020672192380892192</v>
      </c>
      <c r="Y59" s="34">
        <f t="shared" si="22"/>
        <v>0.9770308973229248</v>
      </c>
      <c r="AA59" s="9">
        <f t="shared" si="23"/>
        <v>1.0000000000000004</v>
      </c>
      <c r="AB59" s="16"/>
      <c r="AC59" s="49"/>
      <c r="AE59" s="36">
        <f t="shared" si="29"/>
        <v>28.62625082963687</v>
      </c>
      <c r="AG59" s="36">
        <f t="shared" si="30"/>
        <v>360.6907599565751</v>
      </c>
      <c r="AI59" s="36">
        <f t="shared" si="31"/>
        <v>0</v>
      </c>
      <c r="AK59" s="36">
        <f t="shared" si="32"/>
        <v>0</v>
      </c>
      <c r="AL59" s="16"/>
      <c r="AN59" s="36">
        <f t="shared" si="33"/>
        <v>389.317010786212</v>
      </c>
      <c r="AO59" s="16"/>
      <c r="AP59" s="49"/>
      <c r="AR59" s="45">
        <f t="shared" si="34"/>
        <v>6.309199640823584E-12</v>
      </c>
      <c r="AT59" s="45">
        <f t="shared" si="35"/>
        <v>0.0037214126027265686</v>
      </c>
      <c r="AV59" s="45">
        <f t="shared" si="36"/>
        <v>-0.0005152725142236787</v>
      </c>
      <c r="AW59" s="16"/>
      <c r="AY59" s="45">
        <f t="shared" si="13"/>
        <v>0.0032061400948120897</v>
      </c>
      <c r="AZ59" s="16"/>
    </row>
    <row r="60" spans="1:52" ht="15">
      <c r="A60" s="16"/>
      <c r="C60" s="4">
        <f t="shared" si="24"/>
        <v>88</v>
      </c>
      <c r="D60" s="4"/>
      <c r="E60" s="4">
        <v>48</v>
      </c>
      <c r="F60" s="16"/>
      <c r="G60" s="49"/>
      <c r="I60" s="35">
        <f t="shared" si="25"/>
        <v>0.15</v>
      </c>
      <c r="K60" s="35">
        <f t="shared" si="26"/>
        <v>0.19</v>
      </c>
      <c r="M60" s="35">
        <f t="shared" si="27"/>
        <v>0.58</v>
      </c>
      <c r="O60" s="35">
        <f t="shared" si="28"/>
        <v>0.9</v>
      </c>
      <c r="P60" s="16"/>
      <c r="Q60" s="49"/>
      <c r="S60" s="34">
        <f t="shared" si="19"/>
        <v>9.017345376990163E-12</v>
      </c>
      <c r="U60" s="34">
        <f t="shared" si="20"/>
        <v>0.018719818674064845</v>
      </c>
      <c r="W60" s="34">
        <f t="shared" si="21"/>
        <v>0.01684783680665836</v>
      </c>
      <c r="Y60" s="34">
        <f t="shared" si="22"/>
        <v>0.9812801813169182</v>
      </c>
      <c r="AA60" s="9">
        <f t="shared" si="23"/>
        <v>1.0000000000000004</v>
      </c>
      <c r="AB60" s="16"/>
      <c r="AC60" s="49"/>
      <c r="AE60" s="36">
        <f t="shared" si="29"/>
        <v>22.650868376438208</v>
      </c>
      <c r="AG60" s="36">
        <f t="shared" si="30"/>
        <v>285.40094140564366</v>
      </c>
      <c r="AI60" s="36">
        <f t="shared" si="31"/>
        <v>0</v>
      </c>
      <c r="AK60" s="36">
        <f t="shared" si="32"/>
        <v>0</v>
      </c>
      <c r="AL60" s="16"/>
      <c r="AN60" s="36">
        <f t="shared" si="33"/>
        <v>308.0518097820819</v>
      </c>
      <c r="AO60" s="16"/>
      <c r="AP60" s="49"/>
      <c r="AR60" s="45">
        <f t="shared" si="34"/>
        <v>1.7457494151793414E-12</v>
      </c>
      <c r="AT60" s="45">
        <f t="shared" si="35"/>
        <v>0.0029446128875185457</v>
      </c>
      <c r="AV60" s="45">
        <f t="shared" si="36"/>
        <v>-0.0004077156305794909</v>
      </c>
      <c r="AW60" s="16"/>
      <c r="AY60" s="45">
        <f t="shared" si="13"/>
        <v>0.0025368972586848042</v>
      </c>
      <c r="AZ60" s="16"/>
    </row>
    <row r="61" spans="1:52" ht="15">
      <c r="A61" s="16"/>
      <c r="C61" s="4">
        <f t="shared" si="24"/>
        <v>89</v>
      </c>
      <c r="D61" s="4"/>
      <c r="E61" s="4">
        <v>49</v>
      </c>
      <c r="F61" s="16"/>
      <c r="G61" s="49"/>
      <c r="I61" s="35">
        <f t="shared" si="25"/>
        <v>0.155</v>
      </c>
      <c r="K61" s="35">
        <f t="shared" si="26"/>
        <v>0.195</v>
      </c>
      <c r="M61" s="35">
        <f t="shared" si="27"/>
        <v>0.59</v>
      </c>
      <c r="O61" s="35">
        <f t="shared" si="28"/>
        <v>0.9</v>
      </c>
      <c r="P61" s="16"/>
      <c r="Q61" s="49"/>
      <c r="S61" s="34">
        <f t="shared" si="19"/>
        <v>2.434683251787344E-12</v>
      </c>
      <c r="U61" s="34">
        <f t="shared" si="20"/>
        <v>0.015163053131222584</v>
      </c>
      <c r="W61" s="34">
        <f t="shared" si="21"/>
        <v>0.013646747818100326</v>
      </c>
      <c r="Y61" s="34">
        <f t="shared" si="22"/>
        <v>0.984836946866343</v>
      </c>
      <c r="AA61" s="9">
        <f t="shared" si="23"/>
        <v>1.0000000000000002</v>
      </c>
      <c r="AB61" s="16"/>
      <c r="AC61" s="49"/>
      <c r="AE61" s="36">
        <f t="shared" si="29"/>
        <v>17.812818820729504</v>
      </c>
      <c r="AG61" s="36">
        <f t="shared" si="30"/>
        <v>224.44151710515388</v>
      </c>
      <c r="AI61" s="36">
        <f t="shared" si="31"/>
        <v>0</v>
      </c>
      <c r="AK61" s="36">
        <f t="shared" si="32"/>
        <v>0</v>
      </c>
      <c r="AL61" s="16"/>
      <c r="AN61" s="36">
        <f t="shared" si="33"/>
        <v>242.25433592588337</v>
      </c>
      <c r="AO61" s="16"/>
      <c r="AP61" s="49"/>
      <c r="AR61" s="45">
        <f t="shared" si="34"/>
        <v>4.576236331052642E-13</v>
      </c>
      <c r="AT61" s="45">
        <f t="shared" si="35"/>
        <v>0.0023156664463230164</v>
      </c>
      <c r="AV61" s="45">
        <f t="shared" si="36"/>
        <v>-0.00032063073872164844</v>
      </c>
      <c r="AW61" s="16"/>
      <c r="AY61" s="45">
        <f t="shared" si="13"/>
        <v>0.0019950357080589917</v>
      </c>
      <c r="AZ61" s="16"/>
    </row>
    <row r="62" spans="1:52" ht="15">
      <c r="A62" s="16"/>
      <c r="C62" s="4">
        <f t="shared" si="24"/>
        <v>90</v>
      </c>
      <c r="D62" s="4"/>
      <c r="E62" s="4">
        <v>50</v>
      </c>
      <c r="F62" s="16"/>
      <c r="G62" s="49"/>
      <c r="I62" s="35">
        <f t="shared" si="25"/>
        <v>0.16</v>
      </c>
      <c r="K62" s="35">
        <f t="shared" si="26"/>
        <v>0.2</v>
      </c>
      <c r="M62" s="35">
        <f t="shared" si="27"/>
        <v>0.6</v>
      </c>
      <c r="O62" s="35">
        <f t="shared" si="28"/>
        <v>0.9</v>
      </c>
      <c r="P62" s="16"/>
      <c r="Q62" s="49"/>
      <c r="S62" s="34">
        <f t="shared" si="19"/>
        <v>6.208442292057728E-13</v>
      </c>
      <c r="U62" s="34">
        <f t="shared" si="20"/>
        <v>0.012206257772070643</v>
      </c>
      <c r="W62" s="34">
        <f t="shared" si="21"/>
        <v>0.01098563199486358</v>
      </c>
      <c r="Y62" s="34">
        <f t="shared" si="22"/>
        <v>0.9877937422273088</v>
      </c>
      <c r="AA62" s="9">
        <f t="shared" si="23"/>
        <v>1.0000000000000002</v>
      </c>
      <c r="AB62" s="16"/>
      <c r="AC62" s="49"/>
      <c r="AE62" s="36">
        <f t="shared" si="29"/>
        <v>13.921669078448208</v>
      </c>
      <c r="AG62" s="36">
        <f t="shared" si="30"/>
        <v>175.41303037952545</v>
      </c>
      <c r="AI62" s="36">
        <f t="shared" si="31"/>
        <v>0</v>
      </c>
      <c r="AK62" s="36">
        <f t="shared" si="32"/>
        <v>0</v>
      </c>
      <c r="AL62" s="16"/>
      <c r="AN62" s="36">
        <f t="shared" si="33"/>
        <v>189.33469945797367</v>
      </c>
      <c r="AO62" s="16"/>
      <c r="AP62" s="49"/>
      <c r="AR62" s="45">
        <f t="shared" si="34"/>
        <v>1.1329517130275963E-13</v>
      </c>
      <c r="AT62" s="45">
        <f t="shared" si="35"/>
        <v>0.001809816980106215</v>
      </c>
      <c r="AV62" s="45">
        <f t="shared" si="36"/>
        <v>-0.0002505900433993221</v>
      </c>
      <c r="AW62" s="16"/>
      <c r="AY62" s="45">
        <f t="shared" si="13"/>
        <v>0.0015592269368201882</v>
      </c>
      <c r="AZ62" s="16"/>
    </row>
    <row r="63" spans="1:52" ht="15">
      <c r="A63" s="16"/>
      <c r="C63" s="4">
        <f t="shared" si="24"/>
        <v>91</v>
      </c>
      <c r="D63" s="4"/>
      <c r="E63" s="4">
        <v>51</v>
      </c>
      <c r="F63" s="16"/>
      <c r="G63" s="49"/>
      <c r="I63" s="35">
        <f t="shared" si="25"/>
        <v>0.165</v>
      </c>
      <c r="K63" s="35">
        <f t="shared" si="26"/>
        <v>0.205</v>
      </c>
      <c r="M63" s="35">
        <f t="shared" si="27"/>
        <v>0.61</v>
      </c>
      <c r="O63" s="35">
        <f t="shared" si="28"/>
        <v>0.9</v>
      </c>
      <c r="P63" s="16"/>
      <c r="Q63" s="49"/>
      <c r="S63" s="34">
        <f t="shared" si="19"/>
        <v>1.4900261500938544E-13</v>
      </c>
      <c r="U63" s="34">
        <f t="shared" si="20"/>
        <v>0.00976500621802902</v>
      </c>
      <c r="W63" s="34">
        <f t="shared" si="21"/>
        <v>0.008788505596226117</v>
      </c>
      <c r="Y63" s="34">
        <f t="shared" si="22"/>
        <v>0.9902349937818222</v>
      </c>
      <c r="AA63" s="9">
        <f t="shared" si="23"/>
        <v>1.0000000000000002</v>
      </c>
      <c r="AB63" s="16"/>
      <c r="AC63" s="49"/>
      <c r="AE63" s="36">
        <f t="shared" si="29"/>
        <v>10.812946857074648</v>
      </c>
      <c r="AG63" s="36">
        <f t="shared" si="30"/>
        <v>136.24313039706166</v>
      </c>
      <c r="AI63" s="36">
        <f t="shared" si="31"/>
        <v>0</v>
      </c>
      <c r="AK63" s="36">
        <f t="shared" si="32"/>
        <v>0</v>
      </c>
      <c r="AL63" s="16"/>
      <c r="AN63" s="36">
        <f t="shared" si="33"/>
        <v>147.0560772541363</v>
      </c>
      <c r="AO63" s="16"/>
      <c r="AP63" s="49"/>
      <c r="AR63" s="45">
        <f t="shared" si="34"/>
        <v>2.639887486666243E-14</v>
      </c>
      <c r="AT63" s="45">
        <f t="shared" si="35"/>
        <v>0.0014056830913982553</v>
      </c>
      <c r="AV63" s="45">
        <f t="shared" si="36"/>
        <v>-0.00019463304342437382</v>
      </c>
      <c r="AW63" s="16"/>
      <c r="AY63" s="45">
        <f t="shared" si="13"/>
        <v>0.0012110500480002804</v>
      </c>
      <c r="AZ63" s="16"/>
    </row>
    <row r="64" spans="1:52" ht="15">
      <c r="A64" s="16"/>
      <c r="C64" s="4">
        <f t="shared" si="24"/>
        <v>92</v>
      </c>
      <c r="D64" s="4"/>
      <c r="E64" s="4">
        <v>52</v>
      </c>
      <c r="F64" s="16"/>
      <c r="G64" s="49"/>
      <c r="I64" s="35">
        <f t="shared" si="25"/>
        <v>0.17</v>
      </c>
      <c r="K64" s="35">
        <f t="shared" si="26"/>
        <v>0.21</v>
      </c>
      <c r="M64" s="35">
        <f t="shared" si="27"/>
        <v>0.62</v>
      </c>
      <c r="O64" s="35">
        <f t="shared" si="28"/>
        <v>0.9</v>
      </c>
      <c r="P64" s="16"/>
      <c r="Q64" s="49"/>
      <c r="S64" s="34">
        <f t="shared" si="19"/>
        <v>3.352558837711171E-14</v>
      </c>
      <c r="U64" s="34">
        <f t="shared" si="20"/>
        <v>0.007763179943423962</v>
      </c>
      <c r="W64" s="34">
        <f t="shared" si="21"/>
        <v>0.0069868619490815655</v>
      </c>
      <c r="Y64" s="34">
        <f t="shared" si="22"/>
        <v>0.9922368200565427</v>
      </c>
      <c r="AA64" s="9">
        <f t="shared" si="23"/>
        <v>1.0000000000000002</v>
      </c>
      <c r="AB64" s="16"/>
      <c r="AC64" s="49"/>
      <c r="AE64" s="36">
        <f t="shared" si="29"/>
        <v>8.345915292602859</v>
      </c>
      <c r="AG64" s="36">
        <f t="shared" si="30"/>
        <v>105.1585326863419</v>
      </c>
      <c r="AI64" s="36">
        <f t="shared" si="31"/>
        <v>0</v>
      </c>
      <c r="AK64" s="36">
        <f t="shared" si="32"/>
        <v>0</v>
      </c>
      <c r="AL64" s="16"/>
      <c r="AN64" s="36">
        <f t="shared" si="33"/>
        <v>113.50444797894475</v>
      </c>
      <c r="AO64" s="16"/>
      <c r="AP64" s="49"/>
      <c r="AR64" s="45">
        <f t="shared" si="34"/>
        <v>5.766744509707809E-15</v>
      </c>
      <c r="AT64" s="45">
        <f t="shared" si="35"/>
        <v>0.0010849689880336863</v>
      </c>
      <c r="AV64" s="45">
        <f t="shared" si="36"/>
        <v>-0.00015022647526620272</v>
      </c>
      <c r="AW64" s="16"/>
      <c r="AY64" s="45">
        <f t="shared" si="13"/>
        <v>0.0009347425127732502</v>
      </c>
      <c r="AZ64" s="16"/>
    </row>
    <row r="65" spans="1:52" ht="15">
      <c r="A65" s="16"/>
      <c r="C65" s="4">
        <f t="shared" si="24"/>
        <v>93</v>
      </c>
      <c r="D65" s="4"/>
      <c r="E65" s="4">
        <v>53</v>
      </c>
      <c r="F65" s="16"/>
      <c r="G65" s="49"/>
      <c r="I65" s="35">
        <f t="shared" si="25"/>
        <v>0.175</v>
      </c>
      <c r="K65" s="35">
        <f t="shared" si="26"/>
        <v>0.215</v>
      </c>
      <c r="M65" s="35">
        <f t="shared" si="27"/>
        <v>0.63</v>
      </c>
      <c r="O65" s="35">
        <f t="shared" si="28"/>
        <v>0.9</v>
      </c>
      <c r="P65" s="16"/>
      <c r="Q65" s="49"/>
      <c r="S65" s="34">
        <f t="shared" si="19"/>
        <v>7.040373559193459E-15</v>
      </c>
      <c r="U65" s="34">
        <f t="shared" si="20"/>
        <v>0.006132912155325715</v>
      </c>
      <c r="W65" s="34">
        <f t="shared" si="21"/>
        <v>0.005519620939793144</v>
      </c>
      <c r="Y65" s="34">
        <f t="shared" si="22"/>
        <v>0.9938670878446674</v>
      </c>
      <c r="AA65" s="9">
        <f t="shared" si="23"/>
        <v>1.0000000000000002</v>
      </c>
      <c r="AB65" s="16"/>
      <c r="AC65" s="49"/>
      <c r="AE65" s="36">
        <f t="shared" si="29"/>
        <v>6.401236001123982</v>
      </c>
      <c r="AG65" s="36">
        <f t="shared" si="30"/>
        <v>80.6555736140696</v>
      </c>
      <c r="AI65" s="36">
        <f t="shared" si="31"/>
        <v>0</v>
      </c>
      <c r="AK65" s="36">
        <f t="shared" si="32"/>
        <v>0</v>
      </c>
      <c r="AL65" s="16"/>
      <c r="AN65" s="36">
        <f t="shared" si="33"/>
        <v>87.05680961519357</v>
      </c>
      <c r="AO65" s="16"/>
      <c r="AP65" s="49"/>
      <c r="AR65" s="45">
        <f t="shared" si="34"/>
        <v>1.1757440262511073E-15</v>
      </c>
      <c r="AT65" s="45">
        <f t="shared" si="35"/>
        <v>0.0008321606801451624</v>
      </c>
      <c r="AV65" s="45">
        <f t="shared" si="36"/>
        <v>-0.00011522224802009941</v>
      </c>
      <c r="AW65" s="16"/>
      <c r="AY65" s="45">
        <f t="shared" si="13"/>
        <v>0.0007169384321262387</v>
      </c>
      <c r="AZ65" s="16"/>
    </row>
    <row r="66" spans="1:52" ht="15">
      <c r="A66" s="16"/>
      <c r="C66" s="4">
        <f t="shared" si="24"/>
        <v>94</v>
      </c>
      <c r="D66" s="4"/>
      <c r="E66" s="4">
        <v>54</v>
      </c>
      <c r="F66" s="16"/>
      <c r="G66" s="49"/>
      <c r="I66" s="35">
        <f t="shared" si="25"/>
        <v>0.18</v>
      </c>
      <c r="K66" s="35">
        <f t="shared" si="26"/>
        <v>0.22</v>
      </c>
      <c r="M66" s="35">
        <f t="shared" si="27"/>
        <v>0.64</v>
      </c>
      <c r="O66" s="35">
        <f t="shared" si="28"/>
        <v>0.9</v>
      </c>
      <c r="P66" s="16"/>
      <c r="Q66" s="49"/>
      <c r="S66" s="34">
        <f t="shared" si="19"/>
        <v>1.3728728440427252E-15</v>
      </c>
      <c r="U66" s="34">
        <f t="shared" si="20"/>
        <v>0.004814336041935122</v>
      </c>
      <c r="W66" s="34">
        <f t="shared" si="21"/>
        <v>0.00433290243774161</v>
      </c>
      <c r="Y66" s="34">
        <f t="shared" si="22"/>
        <v>0.9951856639580636</v>
      </c>
      <c r="AA66" s="9">
        <f t="shared" si="23"/>
        <v>1.0000000000000002</v>
      </c>
      <c r="AB66" s="16"/>
      <c r="AC66" s="49"/>
      <c r="AE66" s="36">
        <f t="shared" si="29"/>
        <v>4.878611903769533</v>
      </c>
      <c r="AG66" s="36">
        <f t="shared" si="30"/>
        <v>61.47050998747859</v>
      </c>
      <c r="AI66" s="36">
        <f t="shared" si="31"/>
        <v>0</v>
      </c>
      <c r="AK66" s="36">
        <f t="shared" si="32"/>
        <v>0</v>
      </c>
      <c r="AL66" s="16"/>
      <c r="AN66" s="36">
        <f t="shared" si="33"/>
        <v>66.34912189124813</v>
      </c>
      <c r="AO66" s="16"/>
      <c r="AP66" s="49"/>
      <c r="AR66" s="45">
        <f t="shared" si="34"/>
        <v>2.225923156494815E-16</v>
      </c>
      <c r="AT66" s="45">
        <f t="shared" si="35"/>
        <v>0.0006342195474898585</v>
      </c>
      <c r="AV66" s="45">
        <f t="shared" si="36"/>
        <v>-8.781501426782657E-05</v>
      </c>
      <c r="AW66" s="16"/>
      <c r="AY66" s="45">
        <f t="shared" si="13"/>
        <v>0.0005464045332222544</v>
      </c>
      <c r="AZ66" s="16"/>
    </row>
    <row r="67" spans="1:52" ht="15">
      <c r="A67" s="16"/>
      <c r="C67" s="4">
        <f t="shared" si="24"/>
        <v>95</v>
      </c>
      <c r="D67" s="4"/>
      <c r="E67" s="4">
        <v>55</v>
      </c>
      <c r="F67" s="16"/>
      <c r="G67" s="49"/>
      <c r="I67" s="35">
        <f t="shared" si="25"/>
        <v>0.185</v>
      </c>
      <c r="K67" s="35">
        <f t="shared" si="26"/>
        <v>0.225</v>
      </c>
      <c r="M67" s="35">
        <f t="shared" si="27"/>
        <v>0.65</v>
      </c>
      <c r="O67" s="35">
        <f t="shared" si="28"/>
        <v>0.9</v>
      </c>
      <c r="P67" s="16"/>
      <c r="Q67" s="49"/>
      <c r="S67" s="34">
        <f t="shared" si="19"/>
        <v>2.4711711192769037E-16</v>
      </c>
      <c r="U67" s="34">
        <f t="shared" si="20"/>
        <v>0.0037551821127102735</v>
      </c>
      <c r="W67" s="34">
        <f t="shared" si="21"/>
        <v>0.0033796639014392464</v>
      </c>
      <c r="Y67" s="34">
        <f t="shared" si="22"/>
        <v>0.9962448178872896</v>
      </c>
      <c r="AA67" s="9">
        <f t="shared" si="23"/>
        <v>1</v>
      </c>
      <c r="AB67" s="16"/>
      <c r="AC67" s="49"/>
      <c r="AE67" s="36">
        <f t="shared" si="29"/>
        <v>3.6944828009129043</v>
      </c>
      <c r="AG67" s="36">
        <f t="shared" si="30"/>
        <v>46.55048329149953</v>
      </c>
      <c r="AI67" s="36">
        <f t="shared" si="31"/>
        <v>0</v>
      </c>
      <c r="AK67" s="36">
        <f t="shared" si="32"/>
        <v>0</v>
      </c>
      <c r="AL67" s="16"/>
      <c r="AN67" s="36">
        <f t="shared" si="33"/>
        <v>50.24496609241243</v>
      </c>
      <c r="AO67" s="16"/>
      <c r="AP67" s="49"/>
      <c r="AR67" s="45">
        <f t="shared" si="34"/>
        <v>3.889962797757927E-17</v>
      </c>
      <c r="AT67" s="45">
        <f t="shared" si="35"/>
        <v>0.0004802827641186459</v>
      </c>
      <c r="AV67" s="45">
        <f t="shared" si="36"/>
        <v>-6.65006904164279E-05</v>
      </c>
      <c r="AW67" s="16"/>
      <c r="AY67" s="45">
        <f t="shared" si="13"/>
        <v>0.00041378207370225693</v>
      </c>
      <c r="AZ67" s="16"/>
    </row>
    <row r="68" spans="1:52" ht="15">
      <c r="A68" s="16"/>
      <c r="C68" s="4">
        <f t="shared" si="24"/>
        <v>96</v>
      </c>
      <c r="D68" s="4"/>
      <c r="E68" s="4">
        <v>56</v>
      </c>
      <c r="F68" s="16"/>
      <c r="G68" s="49"/>
      <c r="I68" s="35">
        <f t="shared" si="25"/>
        <v>0.19</v>
      </c>
      <c r="K68" s="35">
        <f t="shared" si="26"/>
        <v>0.23</v>
      </c>
      <c r="M68" s="35">
        <f t="shared" si="27"/>
        <v>0.66</v>
      </c>
      <c r="O68" s="35">
        <f t="shared" si="28"/>
        <v>0.9</v>
      </c>
      <c r="P68" s="16"/>
      <c r="Q68" s="49"/>
      <c r="S68" s="34">
        <f t="shared" si="19"/>
        <v>4.077432346806893E-17</v>
      </c>
      <c r="U68" s="34">
        <f t="shared" si="20"/>
        <v>0.0029102661373506225</v>
      </c>
      <c r="W68" s="34">
        <f t="shared" si="21"/>
        <v>0.0026192395236155604</v>
      </c>
      <c r="Y68" s="34">
        <f t="shared" si="22"/>
        <v>0.9970897338626494</v>
      </c>
      <c r="AA68" s="9">
        <f t="shared" si="23"/>
        <v>1</v>
      </c>
      <c r="AB68" s="16"/>
      <c r="AC68" s="49"/>
      <c r="AE68" s="36">
        <f t="shared" si="29"/>
        <v>2.77982929194904</v>
      </c>
      <c r="AG68" s="36">
        <f t="shared" si="30"/>
        <v>35.025849078557414</v>
      </c>
      <c r="AI68" s="36">
        <f t="shared" si="31"/>
        <v>0</v>
      </c>
      <c r="AK68" s="36">
        <f t="shared" si="32"/>
        <v>0</v>
      </c>
      <c r="AL68" s="16"/>
      <c r="AN68" s="36">
        <f t="shared" si="33"/>
        <v>37.805678370506456</v>
      </c>
      <c r="AO68" s="16"/>
      <c r="AP68" s="49"/>
      <c r="AR68" s="45">
        <f t="shared" si="34"/>
        <v>6.231493802233577E-18</v>
      </c>
      <c r="AT68" s="45">
        <f t="shared" si="35"/>
        <v>0.00036137780795337013</v>
      </c>
      <c r="AV68" s="45">
        <f t="shared" si="36"/>
        <v>-5.0036927255082016E-05</v>
      </c>
      <c r="AW68" s="16"/>
      <c r="AY68" s="45">
        <f t="shared" si="13"/>
        <v>0.00031134088069829436</v>
      </c>
      <c r="AZ68" s="16"/>
    </row>
    <row r="69" spans="1:52" ht="15">
      <c r="A69" s="16"/>
      <c r="C69" s="4">
        <f t="shared" si="24"/>
        <v>97</v>
      </c>
      <c r="D69" s="4"/>
      <c r="E69" s="4">
        <v>57</v>
      </c>
      <c r="F69" s="16"/>
      <c r="G69" s="49"/>
      <c r="I69" s="35">
        <f t="shared" si="25"/>
        <v>0.195</v>
      </c>
      <c r="K69" s="35">
        <f t="shared" si="26"/>
        <v>0.235</v>
      </c>
      <c r="M69" s="35">
        <f t="shared" si="27"/>
        <v>0.67</v>
      </c>
      <c r="O69" s="35">
        <f t="shared" si="28"/>
        <v>0.9</v>
      </c>
      <c r="P69" s="16"/>
      <c r="Q69" s="49"/>
      <c r="S69" s="34">
        <f t="shared" si="19"/>
        <v>6.116148520210339E-18</v>
      </c>
      <c r="U69" s="34">
        <f t="shared" si="20"/>
        <v>0.002240904925760006</v>
      </c>
      <c r="W69" s="34">
        <f t="shared" si="21"/>
        <v>0.0020168144331840056</v>
      </c>
      <c r="Y69" s="34">
        <f t="shared" si="22"/>
        <v>0.9977590950742401</v>
      </c>
      <c r="AA69" s="9">
        <f t="shared" si="23"/>
        <v>1</v>
      </c>
      <c r="AB69" s="16"/>
      <c r="AC69" s="49"/>
      <c r="AE69" s="36">
        <f t="shared" si="29"/>
        <v>2.0781248104861763</v>
      </c>
      <c r="AG69" s="36">
        <f t="shared" si="30"/>
        <v>26.184372612125753</v>
      </c>
      <c r="AI69" s="36">
        <f t="shared" si="31"/>
        <v>0</v>
      </c>
      <c r="AK69" s="36">
        <f t="shared" si="32"/>
        <v>0</v>
      </c>
      <c r="AL69" s="16"/>
      <c r="AN69" s="36">
        <f t="shared" si="33"/>
        <v>28.26249742261193</v>
      </c>
      <c r="AO69" s="16"/>
      <c r="AP69" s="49"/>
      <c r="AR69" s="45">
        <f t="shared" si="34"/>
        <v>9.074990974126565E-19</v>
      </c>
      <c r="AT69" s="45">
        <f t="shared" si="35"/>
        <v>0.00027015622536320224</v>
      </c>
      <c r="AV69" s="45">
        <f t="shared" si="36"/>
        <v>-3.740624658875108E-05</v>
      </c>
      <c r="AW69" s="16"/>
      <c r="AY69" s="45">
        <f t="shared" si="13"/>
        <v>0.0002327499787744521</v>
      </c>
      <c r="AZ69" s="16"/>
    </row>
    <row r="70" spans="1:52" ht="15">
      <c r="A70" s="16"/>
      <c r="C70" s="4">
        <f t="shared" si="24"/>
        <v>98</v>
      </c>
      <c r="D70" s="4"/>
      <c r="E70" s="4">
        <v>58</v>
      </c>
      <c r="F70" s="16"/>
      <c r="G70" s="49"/>
      <c r="I70" s="35">
        <f t="shared" si="25"/>
        <v>0.2</v>
      </c>
      <c r="K70" s="35">
        <f t="shared" si="26"/>
        <v>0.24</v>
      </c>
      <c r="M70" s="35">
        <f t="shared" si="27"/>
        <v>0.68</v>
      </c>
      <c r="O70" s="35">
        <f t="shared" si="28"/>
        <v>0.9</v>
      </c>
      <c r="P70" s="16"/>
      <c r="Q70" s="49"/>
      <c r="S70" s="34">
        <f t="shared" si="19"/>
        <v>8.256800502283961E-19</v>
      </c>
      <c r="U70" s="34">
        <f t="shared" si="20"/>
        <v>0.0017142922682064085</v>
      </c>
      <c r="W70" s="34">
        <f t="shared" si="21"/>
        <v>0.0015428630413857676</v>
      </c>
      <c r="Y70" s="34">
        <f t="shared" si="22"/>
        <v>0.9982857077317937</v>
      </c>
      <c r="AA70" s="9">
        <f t="shared" si="23"/>
        <v>1.0000000000000002</v>
      </c>
      <c r="AB70" s="16"/>
      <c r="AC70" s="49"/>
      <c r="AE70" s="36">
        <f t="shared" si="29"/>
        <v>1.5434616310892475</v>
      </c>
      <c r="AG70" s="36">
        <f t="shared" si="30"/>
        <v>19.44761655172451</v>
      </c>
      <c r="AI70" s="36">
        <f t="shared" si="31"/>
        <v>0</v>
      </c>
      <c r="AK70" s="36">
        <f t="shared" si="32"/>
        <v>0</v>
      </c>
      <c r="AL70" s="16"/>
      <c r="AN70" s="36">
        <f t="shared" si="33"/>
        <v>20.99107818281376</v>
      </c>
      <c r="AO70" s="16"/>
      <c r="AP70" s="49"/>
      <c r="AR70" s="45">
        <f t="shared" si="34"/>
        <v>1.1894405645699872E-19</v>
      </c>
      <c r="AT70" s="45">
        <f t="shared" si="35"/>
        <v>0.0002006500120416021</v>
      </c>
      <c r="AV70" s="45">
        <f t="shared" si="36"/>
        <v>-2.7782309359606443E-05</v>
      </c>
      <c r="AW70" s="16"/>
      <c r="AY70" s="45">
        <f t="shared" si="13"/>
        <v>0.00017286770268199576</v>
      </c>
      <c r="AZ70" s="16"/>
    </row>
    <row r="71" spans="1:52" ht="15">
      <c r="A71" s="16"/>
      <c r="C71" s="4">
        <f t="shared" si="24"/>
        <v>99</v>
      </c>
      <c r="D71" s="4"/>
      <c r="E71" s="4">
        <v>59</v>
      </c>
      <c r="F71" s="16"/>
      <c r="G71" s="49"/>
      <c r="I71" s="35">
        <f t="shared" si="25"/>
        <v>0.205</v>
      </c>
      <c r="K71" s="35">
        <f t="shared" si="26"/>
        <v>0.245</v>
      </c>
      <c r="M71" s="35">
        <f t="shared" si="27"/>
        <v>0.69</v>
      </c>
      <c r="O71" s="35">
        <f t="shared" si="28"/>
        <v>0.9</v>
      </c>
      <c r="P71" s="16"/>
      <c r="Q71" s="49"/>
      <c r="S71" s="34">
        <f t="shared" si="19"/>
        <v>9.908160602740742E-20</v>
      </c>
      <c r="U71" s="34">
        <f t="shared" si="20"/>
        <v>0.0013028621238368712</v>
      </c>
      <c r="W71" s="34">
        <f t="shared" si="21"/>
        <v>0.0011725759114531841</v>
      </c>
      <c r="Y71" s="34">
        <f t="shared" si="22"/>
        <v>0.9986971378761632</v>
      </c>
      <c r="AA71" s="9">
        <f t="shared" si="23"/>
        <v>1</v>
      </c>
      <c r="AB71" s="16"/>
      <c r="AC71" s="49"/>
      <c r="AE71" s="36">
        <f t="shared" si="29"/>
        <v>1.1388648928425518</v>
      </c>
      <c r="AG71" s="36">
        <f t="shared" si="30"/>
        <v>14.349697649816152</v>
      </c>
      <c r="AI71" s="36">
        <f t="shared" si="31"/>
        <v>0</v>
      </c>
      <c r="AK71" s="36">
        <f t="shared" si="32"/>
        <v>0</v>
      </c>
      <c r="AL71" s="16"/>
      <c r="AN71" s="36">
        <f t="shared" si="33"/>
        <v>15.488562542658704</v>
      </c>
      <c r="AO71" s="16"/>
      <c r="AP71" s="49"/>
      <c r="AR71" s="45">
        <f t="shared" si="34"/>
        <v>1.3857559975572652E-20</v>
      </c>
      <c r="AT71" s="45">
        <f t="shared" si="35"/>
        <v>0.00014805243606953172</v>
      </c>
      <c r="AV71" s="45">
        <f t="shared" si="36"/>
        <v>-2.049956807116593E-05</v>
      </c>
      <c r="AW71" s="16"/>
      <c r="AY71" s="45">
        <f t="shared" si="13"/>
        <v>0.00012755286799836583</v>
      </c>
      <c r="AZ71" s="16"/>
    </row>
    <row r="72" spans="1:52" ht="15">
      <c r="A72" s="16"/>
      <c r="C72" s="4">
        <f t="shared" si="24"/>
        <v>100</v>
      </c>
      <c r="D72" s="4"/>
      <c r="E72" s="4">
        <v>60</v>
      </c>
      <c r="F72" s="16"/>
      <c r="G72" s="49"/>
      <c r="I72" s="35">
        <f t="shared" si="25"/>
        <v>0.21</v>
      </c>
      <c r="K72" s="35">
        <f t="shared" si="26"/>
        <v>0.25</v>
      </c>
      <c r="M72" s="35">
        <f t="shared" si="27"/>
        <v>0.7</v>
      </c>
      <c r="O72" s="35">
        <f t="shared" si="28"/>
        <v>0.9</v>
      </c>
      <c r="P72" s="16"/>
      <c r="Q72" s="49"/>
      <c r="S72" s="34">
        <f t="shared" si="19"/>
        <v>1.0403568632877788E-20</v>
      </c>
      <c r="U72" s="34">
        <f t="shared" si="20"/>
        <v>0.0009836609034968378</v>
      </c>
      <c r="W72" s="34">
        <f t="shared" si="21"/>
        <v>0.000885294813147154</v>
      </c>
      <c r="Y72" s="34">
        <f t="shared" si="22"/>
        <v>0.9990163390965032</v>
      </c>
      <c r="AA72" s="9">
        <f t="shared" si="23"/>
        <v>1</v>
      </c>
      <c r="AB72" s="16"/>
      <c r="AC72" s="49"/>
      <c r="AE72" s="36">
        <f t="shared" si="29"/>
        <v>0.8347990233942977</v>
      </c>
      <c r="AG72" s="36">
        <f t="shared" si="30"/>
        <v>10.518467694768152</v>
      </c>
      <c r="AI72" s="36">
        <f t="shared" si="31"/>
        <v>0</v>
      </c>
      <c r="AK72" s="36">
        <f t="shared" si="32"/>
        <v>0</v>
      </c>
      <c r="AL72" s="16"/>
      <c r="AN72" s="36">
        <f t="shared" si="33"/>
        <v>11.35326671816245</v>
      </c>
      <c r="AO72" s="16"/>
      <c r="AP72" s="49"/>
      <c r="AR72" s="45">
        <f t="shared" si="34"/>
        <v>1.4126638810049802E-21</v>
      </c>
      <c r="AT72" s="45">
        <f t="shared" si="35"/>
        <v>0.0001085238730412587</v>
      </c>
      <c r="AV72" s="45">
        <f t="shared" si="36"/>
        <v>-1.5026382421097359E-05</v>
      </c>
      <c r="AW72" s="16"/>
      <c r="AY72" s="45">
        <f t="shared" si="13"/>
        <v>9.349749062016135E-05</v>
      </c>
      <c r="AZ72" s="16"/>
    </row>
    <row r="73" spans="1:52" ht="15">
      <c r="A73" s="16"/>
      <c r="C73" s="4">
        <f t="shared" si="24"/>
        <v>101</v>
      </c>
      <c r="D73" s="4"/>
      <c r="E73" s="4">
        <v>61</v>
      </c>
      <c r="F73" s="16"/>
      <c r="G73" s="49"/>
      <c r="I73" s="35">
        <f t="shared" si="25"/>
        <v>0.215</v>
      </c>
      <c r="K73" s="35">
        <f t="shared" si="26"/>
        <v>0.255</v>
      </c>
      <c r="M73" s="35">
        <f t="shared" si="27"/>
        <v>0.71</v>
      </c>
      <c r="O73" s="35">
        <f t="shared" si="28"/>
        <v>0.9</v>
      </c>
      <c r="P73" s="16"/>
      <c r="Q73" s="49"/>
      <c r="S73" s="34">
        <f t="shared" si="19"/>
        <v>9.363211769590022E-22</v>
      </c>
      <c r="U73" s="34">
        <f t="shared" si="20"/>
        <v>0.0007377456776226283</v>
      </c>
      <c r="W73" s="34">
        <f t="shared" si="21"/>
        <v>0.0006639711098603655</v>
      </c>
      <c r="Y73" s="34">
        <f t="shared" si="22"/>
        <v>0.9992622543223775</v>
      </c>
      <c r="AA73" s="9">
        <f t="shared" si="23"/>
        <v>1</v>
      </c>
      <c r="AB73" s="16"/>
      <c r="AC73" s="49"/>
      <c r="AE73" s="36">
        <f t="shared" si="29"/>
        <v>0.6078633665492459</v>
      </c>
      <c r="AG73" s="36">
        <f t="shared" si="30"/>
        <v>7.659078418520498</v>
      </c>
      <c r="AI73" s="36">
        <f t="shared" si="31"/>
        <v>0</v>
      </c>
      <c r="AK73" s="36">
        <f t="shared" si="32"/>
        <v>0</v>
      </c>
      <c r="AL73" s="16"/>
      <c r="AN73" s="36">
        <f t="shared" si="33"/>
        <v>8.266941785069744</v>
      </c>
      <c r="AO73" s="16"/>
      <c r="AP73" s="49"/>
      <c r="AR73" s="45">
        <f t="shared" si="34"/>
        <v>1.2343664979655187E-22</v>
      </c>
      <c r="AT73" s="45">
        <f t="shared" si="35"/>
        <v>7.902223765140198E-05</v>
      </c>
      <c r="AV73" s="45">
        <f t="shared" si="36"/>
        <v>-1.0941540597886427E-05</v>
      </c>
      <c r="AW73" s="16"/>
      <c r="AY73" s="45">
        <f t="shared" si="13"/>
        <v>6.808069705351555E-05</v>
      </c>
      <c r="AZ73" s="16"/>
    </row>
    <row r="74" spans="1:52" ht="15">
      <c r="A74" s="16"/>
      <c r="C74" s="4">
        <f t="shared" si="24"/>
        <v>102</v>
      </c>
      <c r="D74" s="4"/>
      <c r="E74" s="4">
        <v>62</v>
      </c>
      <c r="F74" s="16"/>
      <c r="G74" s="49"/>
      <c r="I74" s="35">
        <f t="shared" si="25"/>
        <v>0.22</v>
      </c>
      <c r="K74" s="35">
        <f t="shared" si="26"/>
        <v>0.26</v>
      </c>
      <c r="M74" s="35">
        <f t="shared" si="27"/>
        <v>0.72</v>
      </c>
      <c r="O74" s="35">
        <f t="shared" si="28"/>
        <v>0.9</v>
      </c>
      <c r="P74" s="16"/>
      <c r="Q74" s="49"/>
      <c r="S74" s="34">
        <f t="shared" si="19"/>
        <v>7.022408827192528E-23</v>
      </c>
      <c r="U74" s="34">
        <f t="shared" si="20"/>
        <v>0.0005496205298288581</v>
      </c>
      <c r="W74" s="34">
        <f t="shared" si="21"/>
        <v>0.0004946584768459724</v>
      </c>
      <c r="Y74" s="34">
        <f t="shared" si="22"/>
        <v>0.9994503794701712</v>
      </c>
      <c r="AA74" s="9">
        <f t="shared" si="23"/>
        <v>1</v>
      </c>
      <c r="AB74" s="16"/>
      <c r="AC74" s="49"/>
      <c r="AE74" s="36">
        <f t="shared" si="29"/>
        <v>0.4396681631836779</v>
      </c>
      <c r="AG74" s="36">
        <f t="shared" si="30"/>
        <v>5.5398188561143415</v>
      </c>
      <c r="AI74" s="36">
        <f t="shared" si="31"/>
        <v>0</v>
      </c>
      <c r="AK74" s="36">
        <f t="shared" si="32"/>
        <v>0</v>
      </c>
      <c r="AL74" s="16"/>
      <c r="AN74" s="36">
        <f t="shared" si="33"/>
        <v>5.97948701929802</v>
      </c>
      <c r="AO74" s="16"/>
      <c r="AP74" s="49"/>
      <c r="AR74" s="45">
        <f t="shared" si="34"/>
        <v>8.988105567710101E-24</v>
      </c>
      <c r="AT74" s="45">
        <f t="shared" si="35"/>
        <v>5.7156861213878125E-05</v>
      </c>
      <c r="AV74" s="45">
        <f t="shared" si="36"/>
        <v>-7.914026937306204E-06</v>
      </c>
      <c r="AW74" s="16"/>
      <c r="AY74" s="45">
        <f t="shared" si="13"/>
        <v>4.924283427657192E-05</v>
      </c>
      <c r="AZ74" s="16"/>
    </row>
    <row r="75" spans="1:52" ht="15">
      <c r="A75" s="16"/>
      <c r="C75" s="4">
        <f t="shared" si="24"/>
        <v>103</v>
      </c>
      <c r="D75" s="4"/>
      <c r="E75" s="4">
        <v>63</v>
      </c>
      <c r="F75" s="16"/>
      <c r="G75" s="49"/>
      <c r="I75" s="35">
        <f t="shared" si="25"/>
        <v>0.225</v>
      </c>
      <c r="K75" s="35">
        <f t="shared" si="26"/>
        <v>0.265</v>
      </c>
      <c r="M75" s="35">
        <f t="shared" si="27"/>
        <v>0.73</v>
      </c>
      <c r="O75" s="35">
        <f t="shared" si="28"/>
        <v>0.9</v>
      </c>
      <c r="P75" s="16"/>
      <c r="Q75" s="49"/>
      <c r="S75" s="34">
        <f t="shared" si="19"/>
        <v>4.21344529631552E-24</v>
      </c>
      <c r="U75" s="34">
        <f t="shared" si="20"/>
        <v>0.000406719192073355</v>
      </c>
      <c r="W75" s="34">
        <f t="shared" si="21"/>
        <v>0.0003660472728660195</v>
      </c>
      <c r="Y75" s="34">
        <f t="shared" si="22"/>
        <v>0.9995932808079268</v>
      </c>
      <c r="AA75" s="9">
        <f t="shared" si="23"/>
        <v>1</v>
      </c>
      <c r="AB75" s="16"/>
      <c r="AC75" s="49"/>
      <c r="AE75" s="36">
        <f t="shared" si="29"/>
        <v>0.3158780978212831</v>
      </c>
      <c r="AG75" s="36">
        <f t="shared" si="30"/>
        <v>3.980064032548167</v>
      </c>
      <c r="AI75" s="36">
        <f t="shared" si="31"/>
        <v>0</v>
      </c>
      <c r="AK75" s="36">
        <f t="shared" si="32"/>
        <v>0</v>
      </c>
      <c r="AL75" s="16"/>
      <c r="AN75" s="36">
        <f t="shared" si="33"/>
        <v>4.29594213036945</v>
      </c>
      <c r="AO75" s="16"/>
      <c r="AP75" s="49"/>
      <c r="AR75" s="45">
        <f t="shared" si="34"/>
        <v>5.2357896510932655E-25</v>
      </c>
      <c r="AT75" s="45">
        <f t="shared" si="35"/>
        <v>4.10641527167668E-05</v>
      </c>
      <c r="AV75" s="45">
        <f t="shared" si="36"/>
        <v>-5.685805760783096E-06</v>
      </c>
      <c r="AW75" s="16"/>
      <c r="AY75" s="45">
        <f t="shared" si="13"/>
        <v>3.5378346955983704E-05</v>
      </c>
      <c r="AZ75" s="16"/>
    </row>
    <row r="76" spans="1:52" ht="15">
      <c r="A76" s="16"/>
      <c r="C76" s="4">
        <f aca="true" t="shared" si="37" ref="C76:C82">start_age+cycle</f>
        <v>104</v>
      </c>
      <c r="D76" s="4"/>
      <c r="E76" s="4">
        <v>64</v>
      </c>
      <c r="F76" s="16"/>
      <c r="G76" s="49"/>
      <c r="I76" s="35">
        <f aca="true" t="shared" si="38" ref="I76:I82">VLOOKUP(age,prob_die_healthy,2)</f>
        <v>0.23</v>
      </c>
      <c r="K76" s="35">
        <f aca="true" t="shared" si="39" ref="K76:K82">VLOOKUP(age,prob_die_disease,2)</f>
        <v>0.27</v>
      </c>
      <c r="M76" s="35">
        <f aca="true" t="shared" si="40" ref="M76:M82">VLOOKUP(age,prob_disease,2)</f>
        <v>0.74</v>
      </c>
      <c r="O76" s="35">
        <f aca="true" t="shared" si="41" ref="O76:O82">VLOOKUP(age,prob_hosp_disease,2)</f>
        <v>0.9</v>
      </c>
      <c r="P76" s="16"/>
      <c r="Q76" s="49"/>
      <c r="S76" s="34">
        <f t="shared" si="19"/>
        <v>1.8960503833419824E-25</v>
      </c>
      <c r="U76" s="34">
        <f t="shared" si="20"/>
        <v>0.0002989386061739159</v>
      </c>
      <c r="W76" s="34">
        <f t="shared" si="21"/>
        <v>0.0002690447455565243</v>
      </c>
      <c r="Y76" s="34">
        <f t="shared" si="22"/>
        <v>0.9997010613938262</v>
      </c>
      <c r="AA76" s="9">
        <f t="shared" si="23"/>
        <v>1.0000000000000002</v>
      </c>
      <c r="AB76" s="16"/>
      <c r="AC76" s="49"/>
      <c r="AE76" s="36">
        <f aca="true" t="shared" si="42" ref="AE76:AE82">(S76*Cost_old_drug+U76*Cost_old_drug)/(1+Discount_Rate)^cycle</f>
        <v>0.22540815718314866</v>
      </c>
      <c r="AG76" s="36">
        <f aca="true" t="shared" si="43" ref="AG76:AG82">(W76*Cost_hospitalization)/(1+Discount_Rate)^cycle</f>
        <v>2.840142780507673</v>
      </c>
      <c r="AI76" s="36">
        <f aca="true" t="shared" si="44" ref="AI76:AI82">IF(study_perspective=1,0,IF(age&lt;65,(W76*length_of_stay*Cost_hospitalization)/(1+Discount_Rate)^cycle,0))</f>
        <v>0</v>
      </c>
      <c r="AK76" s="36">
        <f aca="true" t="shared" si="45" ref="AK76:AK82">IF(study_perspective=1,0,IF(age&lt;65,(Y76*mean_annual_wage)/(1+Discount_Rate)^cycle,0))</f>
        <v>0</v>
      </c>
      <c r="AL76" s="16"/>
      <c r="AN76" s="36">
        <f aca="true" t="shared" si="46" ref="AN76:AN82">AE76+AG76+AI76+AK76</f>
        <v>3.0655509376908214</v>
      </c>
      <c r="AO76" s="16"/>
      <c r="AP76" s="49"/>
      <c r="AR76" s="45">
        <f aca="true" t="shared" si="47" ref="AR76:AR82">S76*Utility_healthy/(1+Discount_Rate)^cycle</f>
        <v>2.2874809155261826E-26</v>
      </c>
      <c r="AT76" s="45">
        <f aca="true" t="shared" si="48" ref="AT76:AT82">U76*Utility_disease/(1+Discount_Rate)^cycle</f>
        <v>2.9303060433809325E-05</v>
      </c>
      <c r="AV76" s="45">
        <f aca="true" t="shared" si="49" ref="AV76:AV82">W76*-Utility_decrement_hospitalization/(1+Discount_Rate)^cycle</f>
        <v>-4.057346829296676E-06</v>
      </c>
      <c r="AW76" s="16"/>
      <c r="AY76" s="45">
        <f t="shared" si="13"/>
        <v>2.524571360451265E-05</v>
      </c>
      <c r="AZ76" s="16"/>
    </row>
    <row r="77" spans="1:52" ht="15">
      <c r="A77" s="16"/>
      <c r="C77" s="4">
        <f t="shared" si="37"/>
        <v>105</v>
      </c>
      <c r="D77" s="4"/>
      <c r="E77" s="4">
        <v>65</v>
      </c>
      <c r="F77" s="16"/>
      <c r="G77" s="49"/>
      <c r="I77" s="35">
        <f t="shared" si="38"/>
        <v>0.235</v>
      </c>
      <c r="K77" s="35">
        <f t="shared" si="39"/>
        <v>0.275</v>
      </c>
      <c r="M77" s="35">
        <f t="shared" si="40"/>
        <v>0.75</v>
      </c>
      <c r="O77" s="35">
        <f t="shared" si="41"/>
        <v>0.9</v>
      </c>
      <c r="P77" s="16"/>
      <c r="Q77" s="49"/>
      <c r="S77" s="34">
        <f t="shared" si="19"/>
        <v>5.6881511500259565E-27</v>
      </c>
      <c r="U77" s="34">
        <f t="shared" si="20"/>
        <v>0.0002182251825069586</v>
      </c>
      <c r="W77" s="34">
        <f t="shared" si="21"/>
        <v>0.00019640266425626274</v>
      </c>
      <c r="Y77" s="34">
        <f t="shared" si="22"/>
        <v>0.9997817748174932</v>
      </c>
      <c r="AA77" s="9">
        <f t="shared" si="23"/>
        <v>1.0000000000000002</v>
      </c>
      <c r="AB77" s="16"/>
      <c r="AC77" s="49"/>
      <c r="AE77" s="36">
        <f t="shared" si="42"/>
        <v>0.15975529586766846</v>
      </c>
      <c r="AG77" s="36">
        <f t="shared" si="43"/>
        <v>2.0129167279326223</v>
      </c>
      <c r="AI77" s="36">
        <f t="shared" si="44"/>
        <v>0</v>
      </c>
      <c r="AK77" s="36">
        <f t="shared" si="45"/>
        <v>0</v>
      </c>
      <c r="AL77" s="16"/>
      <c r="AN77" s="36">
        <f t="shared" si="46"/>
        <v>2.172672023800291</v>
      </c>
      <c r="AO77" s="16"/>
      <c r="AP77" s="49"/>
      <c r="AR77" s="45">
        <f t="shared" si="47"/>
        <v>6.662565773377242E-28</v>
      </c>
      <c r="AT77" s="45">
        <f t="shared" si="48"/>
        <v>2.0768188462796897E-05</v>
      </c>
      <c r="AV77" s="45">
        <f t="shared" si="49"/>
        <v>-2.8755953256180324E-06</v>
      </c>
      <c r="AW77" s="16"/>
      <c r="AY77" s="45">
        <f aca="true" t="shared" si="50" ref="AY77:AY82">AR77+AT77+AV77</f>
        <v>1.7892593137178866E-05</v>
      </c>
      <c r="AZ77" s="16"/>
    </row>
    <row r="78" spans="1:52" ht="15">
      <c r="A78" s="16"/>
      <c r="C78" s="4">
        <f t="shared" si="37"/>
        <v>106</v>
      </c>
      <c r="D78" s="4"/>
      <c r="E78" s="4">
        <v>66</v>
      </c>
      <c r="F78" s="16"/>
      <c r="G78" s="49"/>
      <c r="I78" s="35">
        <f t="shared" si="38"/>
        <v>0.24</v>
      </c>
      <c r="K78" s="35">
        <f t="shared" si="39"/>
        <v>0.28</v>
      </c>
      <c r="M78" s="35">
        <f t="shared" si="40"/>
        <v>0.76</v>
      </c>
      <c r="O78" s="35">
        <f t="shared" si="41"/>
        <v>0.9</v>
      </c>
      <c r="P78" s="16"/>
      <c r="Q78" s="49"/>
      <c r="S78" s="34">
        <f t="shared" si="19"/>
        <v>8.532226725038958E-29</v>
      </c>
      <c r="U78" s="34">
        <f t="shared" si="20"/>
        <v>0.00015821325731754497</v>
      </c>
      <c r="W78" s="34">
        <f t="shared" si="21"/>
        <v>0.00014239193158579048</v>
      </c>
      <c r="Y78" s="34">
        <f t="shared" si="22"/>
        <v>0.9998417867426826</v>
      </c>
      <c r="AA78" s="9">
        <f t="shared" si="23"/>
        <v>1.0000000000000002</v>
      </c>
      <c r="AB78" s="16"/>
      <c r="AC78" s="49"/>
      <c r="AE78" s="36">
        <f t="shared" si="42"/>
        <v>0.11244911602335886</v>
      </c>
      <c r="AG78" s="36">
        <f t="shared" si="43"/>
        <v>1.4168588618943219</v>
      </c>
      <c r="AI78" s="36">
        <f t="shared" si="44"/>
        <v>0</v>
      </c>
      <c r="AK78" s="36">
        <f t="shared" si="45"/>
        <v>0</v>
      </c>
      <c r="AL78" s="16"/>
      <c r="AN78" s="36">
        <f t="shared" si="46"/>
        <v>1.5293079779176808</v>
      </c>
      <c r="AO78" s="16"/>
      <c r="AP78" s="49"/>
      <c r="AR78" s="45">
        <f t="shared" si="47"/>
        <v>9.70276568938436E-30</v>
      </c>
      <c r="AT78" s="45">
        <f t="shared" si="48"/>
        <v>1.4618385083036652E-05</v>
      </c>
      <c r="AV78" s="45">
        <f t="shared" si="49"/>
        <v>-2.0240840884204596E-06</v>
      </c>
      <c r="AW78" s="16"/>
      <c r="AY78" s="45">
        <f t="shared" si="50"/>
        <v>1.2594300994616193E-05</v>
      </c>
      <c r="AZ78" s="16"/>
    </row>
    <row r="79" spans="1:52" ht="15">
      <c r="A79" s="16"/>
      <c r="C79" s="4">
        <f t="shared" si="37"/>
        <v>107</v>
      </c>
      <c r="D79" s="4"/>
      <c r="E79" s="4">
        <v>67</v>
      </c>
      <c r="F79" s="16"/>
      <c r="G79" s="49"/>
      <c r="I79" s="35">
        <f t="shared" si="38"/>
        <v>0.245</v>
      </c>
      <c r="K79" s="35">
        <f t="shared" si="39"/>
        <v>0.285</v>
      </c>
      <c r="M79" s="35">
        <f t="shared" si="40"/>
        <v>0.77</v>
      </c>
      <c r="O79" s="35">
        <f t="shared" si="41"/>
        <v>0.9</v>
      </c>
      <c r="P79" s="16"/>
      <c r="Q79" s="49"/>
      <c r="S79" s="34">
        <f t="shared" si="19"/>
        <v>0</v>
      </c>
      <c r="U79" s="34">
        <f t="shared" si="20"/>
        <v>0.00011391354526863238</v>
      </c>
      <c r="W79" s="34">
        <f t="shared" si="21"/>
        <v>0.00010252219074176915</v>
      </c>
      <c r="Y79" s="34">
        <f t="shared" si="22"/>
        <v>0.9998860864547315</v>
      </c>
      <c r="AA79" s="9">
        <f t="shared" si="23"/>
        <v>1.0000000000000002</v>
      </c>
      <c r="AB79" s="16"/>
      <c r="AC79" s="49"/>
      <c r="AE79" s="36">
        <f t="shared" si="42"/>
        <v>0.07860520731729939</v>
      </c>
      <c r="AG79" s="36">
        <f t="shared" si="43"/>
        <v>0.9904256121979724</v>
      </c>
      <c r="AI79" s="36">
        <f t="shared" si="44"/>
        <v>0</v>
      </c>
      <c r="AK79" s="36">
        <f t="shared" si="45"/>
        <v>0</v>
      </c>
      <c r="AL79" s="16"/>
      <c r="AN79" s="36">
        <f t="shared" si="46"/>
        <v>1.0690308195152718</v>
      </c>
      <c r="AO79" s="16"/>
      <c r="AP79" s="49"/>
      <c r="AR79" s="45">
        <f t="shared" si="47"/>
        <v>0</v>
      </c>
      <c r="AT79" s="45">
        <f t="shared" si="48"/>
        <v>1.0218676951248922E-05</v>
      </c>
      <c r="AV79" s="45">
        <f t="shared" si="49"/>
        <v>-1.4148937317113891E-06</v>
      </c>
      <c r="AW79" s="16"/>
      <c r="AY79" s="45">
        <f t="shared" si="50"/>
        <v>8.803783219537532E-06</v>
      </c>
      <c r="AZ79" s="16"/>
    </row>
    <row r="80" spans="1:52" ht="15">
      <c r="A80" s="16"/>
      <c r="C80" s="4">
        <f t="shared" si="37"/>
        <v>108</v>
      </c>
      <c r="D80" s="4"/>
      <c r="E80" s="4">
        <v>68</v>
      </c>
      <c r="F80" s="16"/>
      <c r="G80" s="49"/>
      <c r="I80" s="35">
        <f t="shared" si="38"/>
        <v>0.25</v>
      </c>
      <c r="K80" s="35">
        <f t="shared" si="39"/>
        <v>0.29</v>
      </c>
      <c r="M80" s="35">
        <f t="shared" si="40"/>
        <v>0.78</v>
      </c>
      <c r="O80" s="35">
        <f t="shared" si="41"/>
        <v>0.9</v>
      </c>
      <c r="P80" s="16"/>
      <c r="Q80" s="49"/>
      <c r="S80" s="34">
        <f t="shared" si="19"/>
        <v>0</v>
      </c>
      <c r="U80" s="34">
        <f t="shared" si="20"/>
        <v>8.144818486707214E-05</v>
      </c>
      <c r="W80" s="34">
        <f t="shared" si="21"/>
        <v>7.330336638036493E-05</v>
      </c>
      <c r="Y80" s="34">
        <f t="shared" si="22"/>
        <v>0.9999185518151331</v>
      </c>
      <c r="AA80" s="9">
        <f t="shared" si="23"/>
        <v>1.0000000000000002</v>
      </c>
      <c r="AB80" s="16"/>
      <c r="AC80" s="49"/>
      <c r="AE80" s="36">
        <f t="shared" si="42"/>
        <v>0.05456575071055249</v>
      </c>
      <c r="AG80" s="36">
        <f t="shared" si="43"/>
        <v>0.6875284589529614</v>
      </c>
      <c r="AI80" s="36">
        <f t="shared" si="44"/>
        <v>0</v>
      </c>
      <c r="AK80" s="36">
        <f t="shared" si="45"/>
        <v>0</v>
      </c>
      <c r="AL80" s="16"/>
      <c r="AN80" s="36">
        <f t="shared" si="46"/>
        <v>0.7420942096635139</v>
      </c>
      <c r="AO80" s="16"/>
      <c r="AP80" s="49"/>
      <c r="AR80" s="45">
        <f t="shared" si="47"/>
        <v>0</v>
      </c>
      <c r="AT80" s="45">
        <f t="shared" si="48"/>
        <v>7.0935475923718235E-06</v>
      </c>
      <c r="AV80" s="45">
        <f t="shared" si="49"/>
        <v>-9.821835127899448E-07</v>
      </c>
      <c r="AW80" s="16"/>
      <c r="AY80" s="45">
        <f t="shared" si="50"/>
        <v>6.111364079581879E-06</v>
      </c>
      <c r="AZ80" s="16"/>
    </row>
    <row r="81" spans="1:52" ht="15">
      <c r="A81" s="16"/>
      <c r="C81" s="4">
        <f t="shared" si="37"/>
        <v>109</v>
      </c>
      <c r="D81" s="4"/>
      <c r="E81" s="4">
        <v>69</v>
      </c>
      <c r="F81" s="16"/>
      <c r="G81" s="49"/>
      <c r="I81" s="35">
        <f t="shared" si="38"/>
        <v>0.255</v>
      </c>
      <c r="K81" s="35">
        <f t="shared" si="39"/>
        <v>0.295</v>
      </c>
      <c r="M81" s="35">
        <f t="shared" si="40"/>
        <v>0.79</v>
      </c>
      <c r="O81" s="35">
        <f t="shared" si="41"/>
        <v>0.9</v>
      </c>
      <c r="P81" s="16"/>
      <c r="Q81" s="49"/>
      <c r="S81" s="34">
        <f t="shared" si="19"/>
        <v>0</v>
      </c>
      <c r="U81" s="34">
        <f t="shared" si="20"/>
        <v>5.782821125562122E-05</v>
      </c>
      <c r="W81" s="34">
        <f t="shared" si="21"/>
        <v>5.20453901300591E-05</v>
      </c>
      <c r="Y81" s="34">
        <f t="shared" si="22"/>
        <v>0.9999421717887446</v>
      </c>
      <c r="AA81" s="9">
        <f t="shared" si="23"/>
        <v>1.0000000000000002</v>
      </c>
      <c r="AB81" s="16"/>
      <c r="AC81" s="49"/>
      <c r="AE81" s="36">
        <f t="shared" si="42"/>
        <v>0.03761328447038084</v>
      </c>
      <c r="AG81" s="36">
        <f t="shared" si="43"/>
        <v>0.4739273843267986</v>
      </c>
      <c r="AI81" s="36">
        <f t="shared" si="44"/>
        <v>0</v>
      </c>
      <c r="AK81" s="36">
        <f t="shared" si="45"/>
        <v>0</v>
      </c>
      <c r="AL81" s="16"/>
      <c r="AN81" s="36">
        <f t="shared" si="46"/>
        <v>0.5115406687971794</v>
      </c>
      <c r="AO81" s="16"/>
      <c r="AP81" s="49"/>
      <c r="AR81" s="45">
        <f t="shared" si="47"/>
        <v>0</v>
      </c>
      <c r="AT81" s="45">
        <f t="shared" si="48"/>
        <v>4.88972698114951E-06</v>
      </c>
      <c r="AV81" s="45">
        <f t="shared" si="49"/>
        <v>-6.770391204668553E-07</v>
      </c>
      <c r="AW81" s="16"/>
      <c r="AY81" s="45">
        <f t="shared" si="50"/>
        <v>4.212687860682655E-06</v>
      </c>
      <c r="AZ81" s="16"/>
    </row>
    <row r="82" spans="1:52" ht="15">
      <c r="A82" s="16"/>
      <c r="C82" s="4">
        <f t="shared" si="37"/>
        <v>110</v>
      </c>
      <c r="D82" s="4"/>
      <c r="E82" s="4">
        <v>70</v>
      </c>
      <c r="F82" s="16"/>
      <c r="G82" s="49"/>
      <c r="I82" s="35">
        <f t="shared" si="38"/>
        <v>0.26</v>
      </c>
      <c r="K82" s="35">
        <f t="shared" si="39"/>
        <v>0.3</v>
      </c>
      <c r="M82" s="35">
        <f t="shared" si="40"/>
        <v>0.8</v>
      </c>
      <c r="O82" s="35">
        <f t="shared" si="41"/>
        <v>0.9</v>
      </c>
      <c r="P82" s="16"/>
      <c r="Q82" s="49"/>
      <c r="S82" s="34">
        <f t="shared" si="19"/>
        <v>0</v>
      </c>
      <c r="U82" s="34">
        <f t="shared" si="20"/>
        <v>4.076888893521296E-05</v>
      </c>
      <c r="W82" s="34">
        <f t="shared" si="21"/>
        <v>3.669200004169167E-05</v>
      </c>
      <c r="Y82" s="34">
        <f t="shared" si="22"/>
        <v>0.999959231111065</v>
      </c>
      <c r="AA82" s="9">
        <f t="shared" si="23"/>
        <v>1.0000000000000002</v>
      </c>
      <c r="AB82" s="16"/>
      <c r="AC82" s="49"/>
      <c r="AE82" s="36">
        <f t="shared" si="42"/>
        <v>0.02574501509865873</v>
      </c>
      <c r="AG82" s="36">
        <f t="shared" si="43"/>
        <v>0.32438719024310003</v>
      </c>
      <c r="AI82" s="36">
        <f t="shared" si="44"/>
        <v>0</v>
      </c>
      <c r="AK82" s="36">
        <f t="shared" si="45"/>
        <v>0</v>
      </c>
      <c r="AL82" s="16"/>
      <c r="AN82" s="36">
        <f t="shared" si="46"/>
        <v>0.35013220534175876</v>
      </c>
      <c r="AO82" s="16"/>
      <c r="AP82" s="49"/>
      <c r="AR82" s="45">
        <f t="shared" si="47"/>
        <v>0</v>
      </c>
      <c r="AT82" s="45">
        <f t="shared" si="48"/>
        <v>3.3468519628256357E-06</v>
      </c>
      <c r="AV82" s="45">
        <f t="shared" si="49"/>
        <v>-4.634102717758572E-07</v>
      </c>
      <c r="AW82" s="16"/>
      <c r="AY82" s="45">
        <f t="shared" si="50"/>
        <v>2.8834416910497784E-06</v>
      </c>
      <c r="AZ82" s="16"/>
    </row>
    <row r="83" spans="3:5" ht="15">
      <c r="C83" s="4"/>
      <c r="D83" s="4"/>
      <c r="E83" s="4"/>
    </row>
    <row r="84" spans="3:5" ht="15">
      <c r="C84" s="4"/>
      <c r="D84" s="4"/>
      <c r="E84" s="4"/>
    </row>
    <row r="85" spans="3:5" ht="15">
      <c r="C85" s="4"/>
      <c r="D85" s="4"/>
      <c r="E85" s="4"/>
    </row>
    <row r="86" spans="3:5" ht="15">
      <c r="C86" s="4"/>
      <c r="D86" s="4"/>
      <c r="E86" s="4"/>
    </row>
    <row r="87" spans="3:5" ht="15">
      <c r="C87" s="4"/>
      <c r="D87" s="4"/>
      <c r="E87" s="4"/>
    </row>
    <row r="88" spans="3:5" ht="15">
      <c r="C88" s="4"/>
      <c r="D88" s="4"/>
      <c r="E88" s="4"/>
    </row>
    <row r="89" spans="3:5" ht="15">
      <c r="C89" s="4"/>
      <c r="D89" s="4"/>
      <c r="E89" s="4"/>
    </row>
    <row r="90" spans="3:5" ht="15">
      <c r="C90" s="4"/>
      <c r="D90" s="4"/>
      <c r="E90" s="4"/>
    </row>
    <row r="91" spans="3:5" ht="15">
      <c r="C91" s="4"/>
      <c r="D91" s="4"/>
      <c r="E91" s="4"/>
    </row>
    <row r="92" spans="3:5" ht="15">
      <c r="C92" s="4"/>
      <c r="D92" s="4"/>
      <c r="E92" s="4"/>
    </row>
    <row r="93" spans="3:5" ht="15">
      <c r="C93" s="4"/>
      <c r="D93" s="4"/>
      <c r="E93" s="4"/>
    </row>
    <row r="94" spans="3:5" ht="15">
      <c r="C94" s="4"/>
      <c r="D94" s="4"/>
      <c r="E94" s="4"/>
    </row>
    <row r="95" spans="3:5" ht="15">
      <c r="C95" s="4"/>
      <c r="D95" s="4"/>
      <c r="E95" s="4"/>
    </row>
    <row r="96" spans="3:5" ht="15">
      <c r="C96" s="4"/>
      <c r="D96" s="4"/>
      <c r="E96" s="4"/>
    </row>
    <row r="97" spans="3:5" ht="15">
      <c r="C97" s="4"/>
      <c r="D97" s="4"/>
      <c r="E97" s="4"/>
    </row>
    <row r="98" spans="3:5" ht="15">
      <c r="C98" s="4"/>
      <c r="D98" s="4"/>
      <c r="E98" s="4"/>
    </row>
    <row r="99" spans="3:5" ht="15">
      <c r="C99" s="4"/>
      <c r="D99" s="4"/>
      <c r="E99" s="4"/>
    </row>
    <row r="100" spans="3:5" ht="15">
      <c r="C100" s="4"/>
      <c r="D100" s="4"/>
      <c r="E100" s="4"/>
    </row>
    <row r="101" spans="3:5" ht="15">
      <c r="C101" s="4"/>
      <c r="D101" s="4"/>
      <c r="E101" s="4"/>
    </row>
    <row r="102" spans="3:5" ht="15">
      <c r="C102" s="4"/>
      <c r="D102" s="4"/>
      <c r="E102" s="4"/>
    </row>
    <row r="103" spans="3:5" ht="15">
      <c r="C103" s="4"/>
      <c r="D103" s="4"/>
      <c r="E103" s="4"/>
    </row>
    <row r="104" spans="3:5" ht="15">
      <c r="C104" s="4"/>
      <c r="D104" s="4"/>
      <c r="E104" s="4"/>
    </row>
    <row r="105" spans="3:5" ht="15">
      <c r="C105" s="4"/>
      <c r="D105" s="4"/>
      <c r="E105" s="4"/>
    </row>
    <row r="106" spans="3:5" ht="15">
      <c r="C106" s="4"/>
      <c r="D106" s="4"/>
      <c r="E106" s="4"/>
    </row>
    <row r="107" spans="3:5" ht="15">
      <c r="C107" s="4"/>
      <c r="D107" s="4"/>
      <c r="E107" s="4"/>
    </row>
    <row r="108" spans="3:5" ht="15">
      <c r="C108" s="4"/>
      <c r="D108" s="4"/>
      <c r="E108" s="4"/>
    </row>
    <row r="109" spans="3:5" ht="15">
      <c r="C109" s="4"/>
      <c r="D109" s="4"/>
      <c r="E109" s="4"/>
    </row>
    <row r="110" spans="3:5" ht="15">
      <c r="C110" s="4"/>
      <c r="D110" s="4"/>
      <c r="E110" s="4"/>
    </row>
    <row r="111" spans="3:5" ht="15">
      <c r="C111" s="4"/>
      <c r="D111" s="4"/>
      <c r="E111" s="4"/>
    </row>
    <row r="112" spans="3:5" ht="15">
      <c r="C112" s="4"/>
      <c r="D112" s="4"/>
      <c r="E112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6:AZ112"/>
  <sheetViews>
    <sheetView showGridLines="0" zoomScalePageLayoutView="0" workbookViewId="0" topLeftCell="S1">
      <pane ySplit="9" topLeftCell="A10" activePane="bottomLeft" state="frozen"/>
      <selection pane="topLeft" activeCell="A1" sqref="A1"/>
      <selection pane="bottomLeft" activeCell="AY8" sqref="AY8"/>
    </sheetView>
  </sheetViews>
  <sheetFormatPr defaultColWidth="9.140625" defaultRowHeight="15"/>
  <cols>
    <col min="1" max="2" width="2.8515625" style="0" customWidth="1"/>
    <col min="4" max="4" width="2.8515625" style="0" customWidth="1"/>
    <col min="6" max="6" width="3.00390625" style="0" customWidth="1"/>
    <col min="7" max="7" width="1.7109375" style="0" customWidth="1"/>
    <col min="8" max="8" width="2.57421875" style="0" customWidth="1"/>
    <col min="9" max="9" width="9.00390625" style="0" customWidth="1"/>
    <col min="10" max="10" width="3.00390625" style="0" customWidth="1"/>
    <col min="11" max="11" width="8.140625" style="0" customWidth="1"/>
    <col min="12" max="12" width="2.8515625" style="0" customWidth="1"/>
    <col min="13" max="13" width="10.7109375" style="0" customWidth="1"/>
    <col min="14" max="14" width="3.28125" style="0" customWidth="1"/>
    <col min="15" max="15" width="11.00390625" style="0" customWidth="1"/>
    <col min="16" max="16" width="2.7109375" style="0" customWidth="1"/>
    <col min="17" max="17" width="1.57421875" style="0" customWidth="1"/>
    <col min="18" max="18" width="2.8515625" style="0" customWidth="1"/>
    <col min="19" max="19" width="7.8515625" style="0" customWidth="1"/>
    <col min="20" max="20" width="3.00390625" style="0" customWidth="1"/>
    <col min="21" max="21" width="7.57421875" style="0" customWidth="1"/>
    <col min="22" max="22" width="3.421875" style="0" customWidth="1"/>
    <col min="23" max="23" width="6.8515625" style="0" customWidth="1"/>
    <col min="24" max="24" width="3.421875" style="0" customWidth="1"/>
    <col min="25" max="25" width="6.28125" style="0" customWidth="1"/>
    <col min="26" max="26" width="3.421875" style="0" customWidth="1"/>
    <col min="27" max="27" width="8.28125" style="0" customWidth="1"/>
    <col min="28" max="28" width="2.8515625" style="0" customWidth="1"/>
    <col min="29" max="29" width="1.8515625" style="0" customWidth="1"/>
    <col min="30" max="30" width="2.57421875" style="0" customWidth="1"/>
    <col min="31" max="31" width="8.421875" style="0" customWidth="1"/>
    <col min="32" max="32" width="2.7109375" style="0" customWidth="1"/>
    <col min="33" max="33" width="8.7109375" style="0" customWidth="1"/>
    <col min="34" max="34" width="2.8515625" style="0" customWidth="1"/>
    <col min="36" max="36" width="3.140625" style="0" customWidth="1"/>
    <col min="38" max="39" width="2.57421875" style="0" customWidth="1"/>
    <col min="40" max="40" width="10.00390625" style="0" customWidth="1"/>
    <col min="41" max="42" width="2.28125" style="0" customWidth="1"/>
    <col min="43" max="43" width="2.57421875" style="0" customWidth="1"/>
    <col min="44" max="44" width="7.57421875" style="0" customWidth="1"/>
    <col min="45" max="45" width="3.00390625" style="0" customWidth="1"/>
    <col min="46" max="46" width="9.00390625" style="0" customWidth="1"/>
    <col min="47" max="47" width="2.7109375" style="0" customWidth="1"/>
    <col min="48" max="48" width="6.421875" style="0" customWidth="1"/>
    <col min="49" max="50" width="2.421875" style="0" customWidth="1"/>
    <col min="51" max="51" width="10.00390625" style="0" customWidth="1"/>
    <col min="52" max="52" width="2.421875" style="0" customWidth="1"/>
  </cols>
  <sheetData>
    <row r="6" spans="29:41" ht="15">
      <c r="AC6" s="16"/>
      <c r="AL6" s="16"/>
      <c r="AO6" s="48"/>
    </row>
    <row r="7" spans="7:52" ht="15">
      <c r="G7" s="16"/>
      <c r="P7" s="16"/>
      <c r="Q7" s="49"/>
      <c r="AB7" s="16"/>
      <c r="AC7" s="16"/>
      <c r="AL7" s="16"/>
      <c r="AN7" s="4"/>
      <c r="AO7" s="16"/>
      <c r="AP7" s="49"/>
      <c r="AW7" s="16"/>
      <c r="AZ7" s="16"/>
    </row>
    <row r="8" spans="6:52" ht="15">
      <c r="F8" s="48"/>
      <c r="G8" s="16"/>
      <c r="P8" s="16"/>
      <c r="Q8" s="49"/>
      <c r="AB8" s="16"/>
      <c r="AC8" s="16"/>
      <c r="AE8" s="46">
        <f>SUM(AE12:AE82)</f>
        <v>531054.9238300112</v>
      </c>
      <c r="AF8" s="1"/>
      <c r="AG8" s="46">
        <f>SUM(AG12:AG82)</f>
        <v>156890.8743981438</v>
      </c>
      <c r="AH8" s="1"/>
      <c r="AI8" s="46">
        <f>SUM(AI12:AI82)</f>
        <v>0</v>
      </c>
      <c r="AJ8" s="1"/>
      <c r="AK8" s="46">
        <f>SUM(AK12:AK82)</f>
        <v>0</v>
      </c>
      <c r="AL8" s="50"/>
      <c r="AM8" s="1"/>
      <c r="AN8" s="46">
        <f>SUM(AN12:AN82)</f>
        <v>687945.7982281554</v>
      </c>
      <c r="AO8" s="16"/>
      <c r="AP8" s="49"/>
      <c r="AR8" s="47">
        <f>SUM(AR12:AR82)</f>
        <v>5.144576512805347</v>
      </c>
      <c r="AT8" s="47">
        <f>SUM(AT12:AT82)</f>
        <v>7.326221599662567</v>
      </c>
      <c r="AV8" s="47">
        <f>SUM(AV12:AV82)</f>
        <v>-0.2241298205687769</v>
      </c>
      <c r="AW8" s="16"/>
      <c r="AY8" s="47">
        <f>SUM(AY12:AY82)</f>
        <v>12.246668291899137</v>
      </c>
      <c r="AZ8" s="16"/>
    </row>
    <row r="9" spans="1:52" ht="6.75" customHeight="1">
      <c r="A9" s="16"/>
      <c r="C9" s="4"/>
      <c r="D9" s="4"/>
      <c r="E9" s="4"/>
      <c r="F9" s="16"/>
      <c r="G9" s="16"/>
      <c r="P9" s="16"/>
      <c r="Q9" s="49"/>
      <c r="AB9" s="16"/>
      <c r="AC9" s="16"/>
      <c r="AL9" s="16"/>
      <c r="AO9" s="16"/>
      <c r="AP9" s="49"/>
      <c r="AW9" s="16"/>
      <c r="AZ9" s="16"/>
    </row>
    <row r="10" spans="1:52" ht="15">
      <c r="A10" s="16"/>
      <c r="F10" s="16"/>
      <c r="G10" s="16"/>
      <c r="P10" s="16"/>
      <c r="Q10" s="49"/>
      <c r="AB10" s="16"/>
      <c r="AC10" s="16"/>
      <c r="AL10" s="16"/>
      <c r="AO10" s="16"/>
      <c r="AP10" s="49"/>
      <c r="AW10" s="16"/>
      <c r="AZ10" s="16"/>
    </row>
    <row r="11" spans="1:52" ht="15">
      <c r="A11" s="16"/>
      <c r="F11" s="16"/>
      <c r="G11" s="16"/>
      <c r="P11" s="16"/>
      <c r="Q11" s="49"/>
      <c r="AB11" s="16"/>
      <c r="AC11" s="16"/>
      <c r="AL11" s="16"/>
      <c r="AO11" s="16"/>
      <c r="AP11" s="49"/>
      <c r="AW11" s="16"/>
      <c r="AZ11" s="16"/>
    </row>
    <row r="12" spans="1:52" ht="15">
      <c r="A12" s="16"/>
      <c r="C12" s="4">
        <f aca="true" t="shared" si="0" ref="C12:C75">start_age+cycle</f>
        <v>40</v>
      </c>
      <c r="D12" s="4"/>
      <c r="E12" s="4">
        <v>0</v>
      </c>
      <c r="F12" s="16"/>
      <c r="G12" s="16"/>
      <c r="I12" s="35">
        <f aca="true" t="shared" si="1" ref="I12:I43">HR_die_new_drug*VLOOKUP(age,prob_die_healthy,2)</f>
        <v>9E-05</v>
      </c>
      <c r="K12" s="35">
        <f aca="true" t="shared" si="2" ref="K12:K43">HR_disease_new_drug*VLOOKUP(age,prob_die_disease,2)</f>
        <v>0.009000000000000001</v>
      </c>
      <c r="M12" s="35">
        <f aca="true" t="shared" si="3" ref="M12:M43">HR_disease_new_drug*VLOOKUP(age,prob_disease,2)</f>
        <v>0.09000000000000001</v>
      </c>
      <c r="O12" s="35">
        <f aca="true" t="shared" si="4" ref="O12:O43">HR_hosp_new_drug*VLOOKUP(age,prob_hosp_disease,2)</f>
        <v>0.05</v>
      </c>
      <c r="P12" s="16"/>
      <c r="Q12" s="49"/>
      <c r="S12" s="34">
        <v>1</v>
      </c>
      <c r="U12" s="34">
        <v>0</v>
      </c>
      <c r="V12" s="34"/>
      <c r="W12" s="34">
        <v>0</v>
      </c>
      <c r="X12" s="34"/>
      <c r="Y12" s="34">
        <v>0</v>
      </c>
      <c r="AA12" s="9">
        <f>S12+U12+Y12</f>
        <v>1</v>
      </c>
      <c r="AB12" s="16"/>
      <c r="AC12" s="16"/>
      <c r="AE12" s="36">
        <f aca="true" t="shared" si="5" ref="AE12:AE43">(S12*Cost_new_drug+U12*Cost_new_drug)/(1+Discount_Rate)^cycle</f>
        <v>30000</v>
      </c>
      <c r="AG12" s="36">
        <f aca="true" t="shared" si="6" ref="AG12:AG75">(W12*Cost_hospitalization)/(1+Discount_Rate)^cycle</f>
        <v>0</v>
      </c>
      <c r="AI12" s="36">
        <f aca="true" t="shared" si="7" ref="AI12:AI75">IF(study_perspective=1,0,IF(age&lt;65,(W12*length_of_stay*Cost_hospitalization)/(1+Discount_Rate)^cycle,0))</f>
        <v>0</v>
      </c>
      <c r="AK12" s="36">
        <f aca="true" t="shared" si="8" ref="AK12:AK75">IF(study_perspective=1,0,IF(age&lt;65,(Y12*mean_annual_wage)/(1+Discount_Rate)^cycle,0))</f>
        <v>0</v>
      </c>
      <c r="AL12" s="16"/>
      <c r="AN12" s="36">
        <f aca="true" t="shared" si="9" ref="AN12:AN43">AE12+AG12+AI12+AK12</f>
        <v>30000</v>
      </c>
      <c r="AO12" s="16"/>
      <c r="AP12" s="49"/>
      <c r="AR12" s="45">
        <f aca="true" t="shared" si="10" ref="AR12:AR43">S12*Utility_healthy/(1+Discount_Rate)^cycle</f>
        <v>0.8</v>
      </c>
      <c r="AT12" s="45">
        <f aca="true" t="shared" si="11" ref="AT12:AT43">U12*Utility_disease/(1+Discount_Rate)^cycle</f>
        <v>0</v>
      </c>
      <c r="AV12" s="45">
        <f aca="true" t="shared" si="12" ref="AV12:AV43">W12*-Utility_decrement_hospitalization/(1+Discount_Rate)^cycle</f>
        <v>0</v>
      </c>
      <c r="AW12" s="16"/>
      <c r="AY12" s="45">
        <f>AR12+AT12+AV12</f>
        <v>0.8</v>
      </c>
      <c r="AZ12" s="16"/>
    </row>
    <row r="13" spans="1:52" ht="15">
      <c r="A13" s="16"/>
      <c r="C13" s="4">
        <f t="shared" si="0"/>
        <v>41</v>
      </c>
      <c r="D13" s="4"/>
      <c r="E13" s="4">
        <v>1</v>
      </c>
      <c r="F13" s="16"/>
      <c r="G13" s="16"/>
      <c r="I13" s="35">
        <f t="shared" si="1"/>
        <v>0.00010800000000000001</v>
      </c>
      <c r="K13" s="35">
        <f t="shared" si="2"/>
        <v>0.0108</v>
      </c>
      <c r="M13" s="35">
        <f t="shared" si="3"/>
        <v>0.099</v>
      </c>
      <c r="O13" s="35">
        <f t="shared" si="4"/>
        <v>0.05</v>
      </c>
      <c r="P13" s="16"/>
      <c r="Q13" s="49"/>
      <c r="S13" s="34">
        <f>S12+(0)-(S12*(I12+M12))</f>
        <v>0.90991</v>
      </c>
      <c r="U13" s="34">
        <f>U12+(S12*M12)-(U12*K12)</f>
        <v>0.09000000000000001</v>
      </c>
      <c r="W13" s="34">
        <f>U13*O13</f>
        <v>0.0045000000000000005</v>
      </c>
      <c r="Y13" s="34">
        <f>Y12+S12*I12+U12*K12</f>
        <v>9E-05</v>
      </c>
      <c r="AA13" s="9">
        <f>S13+U13+Y13</f>
        <v>1</v>
      </c>
      <c r="AB13" s="16"/>
      <c r="AC13" s="16"/>
      <c r="AE13" s="36">
        <f t="shared" si="5"/>
        <v>29123.592233009706</v>
      </c>
      <c r="AG13" s="36">
        <f t="shared" si="6"/>
        <v>305.82524271844665</v>
      </c>
      <c r="AI13" s="36">
        <f t="shared" si="7"/>
        <v>0</v>
      </c>
      <c r="AK13" s="36">
        <f t="shared" si="8"/>
        <v>0</v>
      </c>
      <c r="AL13" s="16"/>
      <c r="AN13" s="36">
        <f t="shared" si="9"/>
        <v>29429.41747572815</v>
      </c>
      <c r="AO13" s="16"/>
      <c r="AP13" s="49"/>
      <c r="AR13" s="45">
        <f t="shared" si="10"/>
        <v>0.706726213592233</v>
      </c>
      <c r="AT13" s="45">
        <f t="shared" si="11"/>
        <v>0.056796116504854374</v>
      </c>
      <c r="AV13" s="45">
        <f t="shared" si="12"/>
        <v>-0.0004368932038834952</v>
      </c>
      <c r="AW13" s="16"/>
      <c r="AY13" s="45">
        <f aca="true" t="shared" si="13" ref="AY13:AY76">AR13+AT13+AV13</f>
        <v>0.7630854368932039</v>
      </c>
      <c r="AZ13" s="16"/>
    </row>
    <row r="14" spans="1:52" ht="15">
      <c r="A14" s="16"/>
      <c r="C14" s="4">
        <f t="shared" si="0"/>
        <v>42</v>
      </c>
      <c r="D14" s="4"/>
      <c r="E14" s="4">
        <v>2</v>
      </c>
      <c r="F14" s="16"/>
      <c r="G14" s="49"/>
      <c r="I14" s="35">
        <f t="shared" si="1"/>
        <v>0.000126</v>
      </c>
      <c r="K14" s="35">
        <f t="shared" si="2"/>
        <v>0.0126</v>
      </c>
      <c r="M14" s="35">
        <f t="shared" si="3"/>
        <v>0.108</v>
      </c>
      <c r="O14" s="35">
        <f t="shared" si="4"/>
        <v>0.05</v>
      </c>
      <c r="P14" s="16"/>
      <c r="Q14" s="49"/>
      <c r="S14" s="34">
        <f aca="true" t="shared" si="14" ref="S14:S77">S13+(0)-(S13*(I13+M13))</f>
        <v>0.81973063972</v>
      </c>
      <c r="U14" s="34">
        <f aca="true" t="shared" si="15" ref="U14:U77">U13+(S13*M13)-(U13*K13)</f>
        <v>0.17910909</v>
      </c>
      <c r="W14" s="34">
        <f aca="true" t="shared" si="16" ref="W14:W77">U14*O14</f>
        <v>0.0089554545</v>
      </c>
      <c r="Y14" s="34">
        <f aca="true" t="shared" si="17" ref="Y14:Y77">Y13+S13*I13+U13*K13</f>
        <v>0.0011602702800000003</v>
      </c>
      <c r="AA14" s="9">
        <f aca="true" t="shared" si="18" ref="AA14:AA77">S14+U14+Y14</f>
        <v>1</v>
      </c>
      <c r="AB14" s="16"/>
      <c r="AC14" s="16"/>
      <c r="AE14" s="36">
        <f t="shared" si="5"/>
        <v>28245.067293430107</v>
      </c>
      <c r="AG14" s="36">
        <f t="shared" si="6"/>
        <v>590.896234329343</v>
      </c>
      <c r="AI14" s="36">
        <f t="shared" si="7"/>
        <v>0</v>
      </c>
      <c r="AK14" s="36">
        <f t="shared" si="8"/>
        <v>0</v>
      </c>
      <c r="AL14" s="16"/>
      <c r="AN14" s="36">
        <f t="shared" si="9"/>
        <v>28835.96352775945</v>
      </c>
      <c r="AO14" s="16"/>
      <c r="AP14" s="49"/>
      <c r="AR14" s="45">
        <f t="shared" si="10"/>
        <v>0.6181397980733341</v>
      </c>
      <c r="AT14" s="45">
        <f t="shared" si="11"/>
        <v>0.10973787208973514</v>
      </c>
      <c r="AV14" s="45">
        <f t="shared" si="12"/>
        <v>-0.0008441374776133472</v>
      </c>
      <c r="AW14" s="16"/>
      <c r="AY14" s="45">
        <f t="shared" si="13"/>
        <v>0.7270335326854559</v>
      </c>
      <c r="AZ14" s="16"/>
    </row>
    <row r="15" spans="1:52" ht="15">
      <c r="A15" s="16"/>
      <c r="C15" s="4">
        <f t="shared" si="0"/>
        <v>43</v>
      </c>
      <c r="D15" s="4"/>
      <c r="E15" s="4">
        <v>3</v>
      </c>
      <c r="F15" s="16"/>
      <c r="G15" s="49"/>
      <c r="I15" s="35">
        <f t="shared" si="1"/>
        <v>0.000144</v>
      </c>
      <c r="K15" s="35">
        <f t="shared" si="2"/>
        <v>0.014400000000000001</v>
      </c>
      <c r="M15" s="35">
        <f t="shared" si="3"/>
        <v>0.117</v>
      </c>
      <c r="O15" s="35">
        <f t="shared" si="4"/>
        <v>0.05</v>
      </c>
      <c r="P15" s="16"/>
      <c r="Q15" s="49"/>
      <c r="S15" s="34">
        <f t="shared" si="14"/>
        <v>0.7310964445696353</v>
      </c>
      <c r="U15" s="34">
        <f t="shared" si="15"/>
        <v>0.26538322455576</v>
      </c>
      <c r="W15" s="34">
        <f t="shared" si="16"/>
        <v>0.013269161227788002</v>
      </c>
      <c r="Y15" s="34">
        <f t="shared" si="17"/>
        <v>0.0035203308746047206</v>
      </c>
      <c r="AA15" s="9">
        <f t="shared" si="18"/>
        <v>1</v>
      </c>
      <c r="AB15" s="16"/>
      <c r="AC15" s="16"/>
      <c r="AE15" s="36">
        <f t="shared" si="5"/>
        <v>27357.601737453053</v>
      </c>
      <c r="AG15" s="36">
        <f t="shared" si="6"/>
        <v>850.0213556955764</v>
      </c>
      <c r="AI15" s="36">
        <f t="shared" si="7"/>
        <v>0</v>
      </c>
      <c r="AK15" s="36">
        <f t="shared" si="8"/>
        <v>0</v>
      </c>
      <c r="AL15" s="16"/>
      <c r="AN15" s="36">
        <f t="shared" si="9"/>
        <v>28207.623093148628</v>
      </c>
      <c r="AO15" s="16"/>
      <c r="AP15" s="49"/>
      <c r="AR15" s="45">
        <f t="shared" si="10"/>
        <v>0.5352454507445211</v>
      </c>
      <c r="AT15" s="45">
        <f t="shared" si="11"/>
        <v>0.15786110891489274</v>
      </c>
      <c r="AV15" s="45">
        <f t="shared" si="12"/>
        <v>-0.001214316222422252</v>
      </c>
      <c r="AW15" s="16"/>
      <c r="AY15" s="45">
        <f t="shared" si="13"/>
        <v>0.6918922434369916</v>
      </c>
      <c r="AZ15" s="16"/>
    </row>
    <row r="16" spans="1:52" ht="15">
      <c r="A16" s="16"/>
      <c r="C16" s="4">
        <f t="shared" si="0"/>
        <v>44</v>
      </c>
      <c r="D16" s="4"/>
      <c r="E16" s="4">
        <v>4</v>
      </c>
      <c r="F16" s="16"/>
      <c r="G16" s="49"/>
      <c r="I16" s="35">
        <f t="shared" si="1"/>
        <v>0.000162</v>
      </c>
      <c r="K16" s="35">
        <f t="shared" si="2"/>
        <v>0.0162</v>
      </c>
      <c r="M16" s="35">
        <f t="shared" si="3"/>
        <v>0.12600000000000003</v>
      </c>
      <c r="O16" s="35">
        <f t="shared" si="4"/>
        <v>0.05</v>
      </c>
      <c r="P16" s="16"/>
      <c r="Q16" s="49"/>
      <c r="S16" s="34">
        <f t="shared" si="14"/>
        <v>0.6454528826669699</v>
      </c>
      <c r="U16" s="34">
        <f t="shared" si="15"/>
        <v>0.3470999901368044</v>
      </c>
      <c r="W16" s="34">
        <f t="shared" si="16"/>
        <v>0.017354999506840222</v>
      </c>
      <c r="Y16" s="34">
        <f t="shared" si="17"/>
        <v>0.007447127196225693</v>
      </c>
      <c r="AA16" s="9">
        <f t="shared" si="18"/>
        <v>0.9999999999999999</v>
      </c>
      <c r="AB16" s="16"/>
      <c r="AC16" s="16"/>
      <c r="AE16" s="36">
        <f t="shared" si="5"/>
        <v>26456.111155729854</v>
      </c>
      <c r="AG16" s="36">
        <f t="shared" si="6"/>
        <v>1079.3784594887495</v>
      </c>
      <c r="AI16" s="36">
        <f t="shared" si="7"/>
        <v>0</v>
      </c>
      <c r="AK16" s="36">
        <f t="shared" si="8"/>
        <v>0</v>
      </c>
      <c r="AL16" s="16"/>
      <c r="AN16" s="36">
        <f t="shared" si="9"/>
        <v>27535.489615218605</v>
      </c>
      <c r="AO16" s="16"/>
      <c r="AP16" s="49"/>
      <c r="AR16" s="45">
        <f t="shared" si="10"/>
        <v>0.4587812210315581</v>
      </c>
      <c r="AT16" s="45">
        <f t="shared" si="11"/>
        <v>0.2004559996193392</v>
      </c>
      <c r="AV16" s="45">
        <f t="shared" si="12"/>
        <v>-0.001541969227841071</v>
      </c>
      <c r="AW16" s="16"/>
      <c r="AY16" s="45">
        <f t="shared" si="13"/>
        <v>0.6576952514230562</v>
      </c>
      <c r="AZ16" s="16"/>
    </row>
    <row r="17" spans="1:52" ht="15">
      <c r="A17" s="16"/>
      <c r="C17" s="4">
        <f t="shared" si="0"/>
        <v>45</v>
      </c>
      <c r="D17" s="4"/>
      <c r="E17" s="4">
        <v>5</v>
      </c>
      <c r="F17" s="16"/>
      <c r="G17" s="49"/>
      <c r="I17" s="35">
        <f t="shared" si="1"/>
        <v>0.00018</v>
      </c>
      <c r="K17" s="35">
        <f t="shared" si="2"/>
        <v>0.018000000000000002</v>
      </c>
      <c r="M17" s="35">
        <f t="shared" si="3"/>
        <v>0.135</v>
      </c>
      <c r="O17" s="35">
        <f t="shared" si="4"/>
        <v>0.05</v>
      </c>
      <c r="P17" s="16"/>
      <c r="Q17" s="49"/>
      <c r="S17" s="34">
        <f t="shared" si="14"/>
        <v>0.5640212560839396</v>
      </c>
      <c r="U17" s="34">
        <f t="shared" si="15"/>
        <v>0.4228040335126264</v>
      </c>
      <c r="W17" s="34">
        <f t="shared" si="16"/>
        <v>0.021140201675631323</v>
      </c>
      <c r="Y17" s="34">
        <f t="shared" si="17"/>
        <v>0.013174710403433973</v>
      </c>
      <c r="AA17" s="9">
        <f t="shared" si="18"/>
        <v>1</v>
      </c>
      <c r="AB17" s="16"/>
      <c r="AC17" s="49"/>
      <c r="AE17" s="36">
        <f t="shared" si="5"/>
        <v>25537.324903753335</v>
      </c>
      <c r="AG17" s="36">
        <f t="shared" si="6"/>
        <v>1276.5006568336682</v>
      </c>
      <c r="AI17" s="36">
        <f t="shared" si="7"/>
        <v>0</v>
      </c>
      <c r="AK17" s="36">
        <f t="shared" si="8"/>
        <v>0</v>
      </c>
      <c r="AL17" s="16"/>
      <c r="AN17" s="36">
        <f t="shared" si="9"/>
        <v>26813.825560587004</v>
      </c>
      <c r="AO17" s="16"/>
      <c r="AP17" s="49"/>
      <c r="AR17" s="45">
        <f t="shared" si="10"/>
        <v>0.38922375206191717</v>
      </c>
      <c r="AT17" s="45">
        <f t="shared" si="11"/>
        <v>0.23706440769768122</v>
      </c>
      <c r="AV17" s="45">
        <f t="shared" si="12"/>
        <v>-0.0018235723669052406</v>
      </c>
      <c r="AW17" s="16"/>
      <c r="AY17" s="45">
        <f t="shared" si="13"/>
        <v>0.6244645873926932</v>
      </c>
      <c r="AZ17" s="16"/>
    </row>
    <row r="18" spans="1:52" ht="15">
      <c r="A18" s="16"/>
      <c r="C18" s="4">
        <f t="shared" si="0"/>
        <v>46</v>
      </c>
      <c r="D18" s="4"/>
      <c r="E18" s="4">
        <v>6</v>
      </c>
      <c r="F18" s="16"/>
      <c r="G18" s="49"/>
      <c r="I18" s="35">
        <f t="shared" si="1"/>
        <v>0.00019800000000000002</v>
      </c>
      <c r="K18" s="35">
        <f t="shared" si="2"/>
        <v>0.019799999999999998</v>
      </c>
      <c r="M18" s="35">
        <f t="shared" si="3"/>
        <v>0.14400000000000002</v>
      </c>
      <c r="O18" s="35">
        <f t="shared" si="4"/>
        <v>0.1</v>
      </c>
      <c r="P18" s="16"/>
      <c r="Q18" s="49"/>
      <c r="S18" s="34">
        <f t="shared" si="14"/>
        <v>0.48777686268651266</v>
      </c>
      <c r="U18" s="34">
        <f t="shared" si="15"/>
        <v>0.491336430480731</v>
      </c>
      <c r="W18" s="34">
        <f t="shared" si="16"/>
        <v>0.049133643048073106</v>
      </c>
      <c r="Y18" s="34">
        <f t="shared" si="17"/>
        <v>0.02088670683275636</v>
      </c>
      <c r="AA18" s="9">
        <f t="shared" si="18"/>
        <v>1</v>
      </c>
      <c r="AB18" s="16"/>
      <c r="AC18" s="49"/>
      <c r="AE18" s="36">
        <f t="shared" si="5"/>
        <v>24599.759056117622</v>
      </c>
      <c r="AG18" s="36">
        <f t="shared" si="6"/>
        <v>2880.4056768392857</v>
      </c>
      <c r="AI18" s="36">
        <f t="shared" si="7"/>
        <v>0</v>
      </c>
      <c r="AK18" s="36">
        <f t="shared" si="8"/>
        <v>0</v>
      </c>
      <c r="AL18" s="16"/>
      <c r="AN18" s="36">
        <f t="shared" si="9"/>
        <v>27480.16473295691</v>
      </c>
      <c r="AO18" s="16"/>
      <c r="AP18" s="49"/>
      <c r="AR18" s="45">
        <f t="shared" si="10"/>
        <v>0.3268043546195992</v>
      </c>
      <c r="AT18" s="45">
        <f t="shared" si="11"/>
        <v>0.2674662414207908</v>
      </c>
      <c r="AV18" s="45">
        <f t="shared" si="12"/>
        <v>-0.004114865252627551</v>
      </c>
      <c r="AW18" s="16"/>
      <c r="AY18" s="45">
        <f t="shared" si="13"/>
        <v>0.5901557307877625</v>
      </c>
      <c r="AZ18" s="16"/>
    </row>
    <row r="19" spans="1:52" ht="15">
      <c r="A19" s="16"/>
      <c r="C19" s="4">
        <f t="shared" si="0"/>
        <v>47</v>
      </c>
      <c r="D19" s="4"/>
      <c r="E19" s="4">
        <v>7</v>
      </c>
      <c r="F19" s="16"/>
      <c r="G19" s="49"/>
      <c r="I19" s="35">
        <f t="shared" si="1"/>
        <v>0.00021600000000000002</v>
      </c>
      <c r="K19" s="35">
        <f t="shared" si="2"/>
        <v>0.0216</v>
      </c>
      <c r="M19" s="35">
        <f t="shared" si="3"/>
        <v>0.15300000000000002</v>
      </c>
      <c r="O19" s="35">
        <f t="shared" si="4"/>
        <v>0.1</v>
      </c>
      <c r="P19" s="16"/>
      <c r="Q19" s="49"/>
      <c r="S19" s="34">
        <f t="shared" si="14"/>
        <v>0.4174404146408429</v>
      </c>
      <c r="U19" s="34">
        <f t="shared" si="15"/>
        <v>0.5518478373840704</v>
      </c>
      <c r="W19" s="34">
        <f t="shared" si="16"/>
        <v>0.055184783738407045</v>
      </c>
      <c r="Y19" s="34">
        <f t="shared" si="17"/>
        <v>0.030711747975086762</v>
      </c>
      <c r="AA19" s="9">
        <f t="shared" si="18"/>
        <v>1</v>
      </c>
      <c r="AB19" s="16"/>
      <c r="AC19" s="49"/>
      <c r="AE19" s="36">
        <f t="shared" si="5"/>
        <v>23643.60149298883</v>
      </c>
      <c r="AG19" s="36">
        <f t="shared" si="6"/>
        <v>3140.9195449112262</v>
      </c>
      <c r="AI19" s="36">
        <f t="shared" si="7"/>
        <v>0</v>
      </c>
      <c r="AK19" s="36">
        <f t="shared" si="8"/>
        <v>0</v>
      </c>
      <c r="AL19" s="16"/>
      <c r="AN19" s="36">
        <f t="shared" si="9"/>
        <v>26784.521037900056</v>
      </c>
      <c r="AO19" s="16"/>
      <c r="AP19" s="49"/>
      <c r="AR19" s="45">
        <f t="shared" si="10"/>
        <v>0.2715338061088954</v>
      </c>
      <c r="AT19" s="45">
        <f t="shared" si="11"/>
        <v>0.2916568148846138</v>
      </c>
      <c r="AV19" s="45">
        <f t="shared" si="12"/>
        <v>-0.004487027921301752</v>
      </c>
      <c r="AW19" s="16"/>
      <c r="AY19" s="45">
        <f t="shared" si="13"/>
        <v>0.5587035930722074</v>
      </c>
      <c r="AZ19" s="16"/>
    </row>
    <row r="20" spans="1:52" ht="15">
      <c r="A20" s="16"/>
      <c r="C20" s="4">
        <f t="shared" si="0"/>
        <v>48</v>
      </c>
      <c r="D20" s="4"/>
      <c r="E20" s="4">
        <v>8</v>
      </c>
      <c r="F20" s="16"/>
      <c r="G20" s="49"/>
      <c r="I20" s="35">
        <f t="shared" si="1"/>
        <v>0.000234</v>
      </c>
      <c r="K20" s="35">
        <f t="shared" si="2"/>
        <v>0.0234</v>
      </c>
      <c r="M20" s="35">
        <f t="shared" si="3"/>
        <v>0.162</v>
      </c>
      <c r="O20" s="35">
        <f t="shared" si="4"/>
        <v>0.1</v>
      </c>
      <c r="P20" s="16"/>
      <c r="Q20" s="49"/>
      <c r="S20" s="34">
        <f t="shared" si="14"/>
        <v>0.3534818640712315</v>
      </c>
      <c r="U20" s="34">
        <f t="shared" si="15"/>
        <v>0.6037963075366234</v>
      </c>
      <c r="W20" s="34">
        <f t="shared" si="16"/>
        <v>0.060379630753662344</v>
      </c>
      <c r="Y20" s="34">
        <f t="shared" si="17"/>
        <v>0.042721828392145104</v>
      </c>
      <c r="AA20" s="9">
        <f t="shared" si="18"/>
        <v>1</v>
      </c>
      <c r="AB20" s="16"/>
      <c r="AC20" s="49"/>
      <c r="AE20" s="36">
        <f t="shared" si="5"/>
        <v>22670.526854232034</v>
      </c>
      <c r="AG20" s="36">
        <f t="shared" si="6"/>
        <v>3336.4966656984734</v>
      </c>
      <c r="AI20" s="36">
        <f t="shared" si="7"/>
        <v>0</v>
      </c>
      <c r="AK20" s="36">
        <f t="shared" si="8"/>
        <v>0</v>
      </c>
      <c r="AL20" s="16"/>
      <c r="AN20" s="36">
        <f t="shared" si="9"/>
        <v>26007.023519930506</v>
      </c>
      <c r="AO20" s="16"/>
      <c r="AP20" s="49"/>
      <c r="AR20" s="45">
        <f t="shared" si="10"/>
        <v>0.22323347812826688</v>
      </c>
      <c r="AT20" s="45">
        <f t="shared" si="11"/>
        <v>0.3098175475291439</v>
      </c>
      <c r="AV20" s="45">
        <f t="shared" si="12"/>
        <v>-0.0047664238081406764</v>
      </c>
      <c r="AW20" s="16"/>
      <c r="AY20" s="45">
        <f t="shared" si="13"/>
        <v>0.5282846018492702</v>
      </c>
      <c r="AZ20" s="16"/>
    </row>
    <row r="21" spans="1:52" ht="15">
      <c r="A21" s="16"/>
      <c r="C21" s="4">
        <f t="shared" si="0"/>
        <v>49</v>
      </c>
      <c r="D21" s="4"/>
      <c r="E21" s="4">
        <v>9</v>
      </c>
      <c r="F21" s="16"/>
      <c r="G21" s="49"/>
      <c r="I21" s="35">
        <f t="shared" si="1"/>
        <v>0.000252</v>
      </c>
      <c r="K21" s="35">
        <f t="shared" si="2"/>
        <v>0.0252</v>
      </c>
      <c r="M21" s="35">
        <f t="shared" si="3"/>
        <v>0.171</v>
      </c>
      <c r="O21" s="35">
        <f t="shared" si="4"/>
        <v>0.1</v>
      </c>
      <c r="P21" s="16"/>
      <c r="Q21" s="49"/>
      <c r="S21" s="34">
        <f t="shared" si="14"/>
        <v>0.2961350873354993</v>
      </c>
      <c r="U21" s="34">
        <f t="shared" si="15"/>
        <v>0.6469315359198059</v>
      </c>
      <c r="W21" s="34">
        <f t="shared" si="16"/>
        <v>0.06469315359198059</v>
      </c>
      <c r="Y21" s="34">
        <f t="shared" si="17"/>
        <v>0.05693337674469476</v>
      </c>
      <c r="AA21" s="9">
        <f t="shared" si="18"/>
        <v>1</v>
      </c>
      <c r="AB21" s="16"/>
      <c r="AC21" s="49"/>
      <c r="AE21" s="36">
        <f t="shared" si="5"/>
        <v>21683.46119333008</v>
      </c>
      <c r="AG21" s="36">
        <f t="shared" si="6"/>
        <v>3470.7340766679094</v>
      </c>
      <c r="AI21" s="36">
        <f t="shared" si="7"/>
        <v>0</v>
      </c>
      <c r="AK21" s="36">
        <f t="shared" si="8"/>
        <v>0</v>
      </c>
      <c r="AL21" s="16"/>
      <c r="AN21" s="36">
        <f t="shared" si="9"/>
        <v>25154.19526999799</v>
      </c>
      <c r="AO21" s="16"/>
      <c r="AP21" s="49"/>
      <c r="AR21" s="45">
        <f t="shared" si="10"/>
        <v>0.18157030877437438</v>
      </c>
      <c r="AT21" s="45">
        <f t="shared" si="11"/>
        <v>0.3222824499763059</v>
      </c>
      <c r="AV21" s="45">
        <f t="shared" si="12"/>
        <v>-0.004958191538097015</v>
      </c>
      <c r="AW21" s="16"/>
      <c r="AY21" s="45">
        <f t="shared" si="13"/>
        <v>0.49889456721258324</v>
      </c>
      <c r="AZ21" s="16"/>
    </row>
    <row r="22" spans="1:52" ht="15">
      <c r="A22" s="16"/>
      <c r="C22" s="4">
        <f t="shared" si="0"/>
        <v>50</v>
      </c>
      <c r="D22" s="4"/>
      <c r="E22" s="4">
        <v>10</v>
      </c>
      <c r="F22" s="16"/>
      <c r="G22" s="49"/>
      <c r="I22" s="35">
        <f t="shared" si="1"/>
        <v>0.00027</v>
      </c>
      <c r="K22" s="35">
        <f t="shared" si="2"/>
        <v>0.027</v>
      </c>
      <c r="M22" s="35">
        <f t="shared" si="3"/>
        <v>0.18000000000000002</v>
      </c>
      <c r="O22" s="35">
        <f t="shared" si="4"/>
        <v>0.1</v>
      </c>
      <c r="P22" s="16"/>
      <c r="Q22" s="49"/>
      <c r="S22" s="34">
        <f t="shared" si="14"/>
        <v>0.24542136135912038</v>
      </c>
      <c r="U22" s="34">
        <f t="shared" si="15"/>
        <v>0.6812679611489972</v>
      </c>
      <c r="W22" s="34">
        <f t="shared" si="16"/>
        <v>0.06812679611489973</v>
      </c>
      <c r="Y22" s="34">
        <f t="shared" si="17"/>
        <v>0.07331067749188241</v>
      </c>
      <c r="AA22" s="9">
        <f t="shared" si="18"/>
        <v>1</v>
      </c>
      <c r="AB22" s="16"/>
      <c r="AC22" s="49"/>
      <c r="AE22" s="36">
        <f t="shared" si="5"/>
        <v>20686.316576341775</v>
      </c>
      <c r="AG22" s="36">
        <f t="shared" si="6"/>
        <v>3548.491410135472</v>
      </c>
      <c r="AI22" s="36">
        <f t="shared" si="7"/>
        <v>0</v>
      </c>
      <c r="AK22" s="36">
        <f t="shared" si="8"/>
        <v>0</v>
      </c>
      <c r="AL22" s="16"/>
      <c r="AN22" s="36">
        <f t="shared" si="9"/>
        <v>24234.807986477248</v>
      </c>
      <c r="AO22" s="16"/>
      <c r="AP22" s="49"/>
      <c r="AR22" s="45">
        <f t="shared" si="10"/>
        <v>0.1460932332583934</v>
      </c>
      <c r="AT22" s="45">
        <f t="shared" si="11"/>
        <v>0.32950277379829385</v>
      </c>
      <c r="AV22" s="45">
        <f t="shared" si="12"/>
        <v>-0.005069273443050675</v>
      </c>
      <c r="AW22" s="16"/>
      <c r="AY22" s="45">
        <f t="shared" si="13"/>
        <v>0.47052673361363656</v>
      </c>
      <c r="AZ22" s="16"/>
    </row>
    <row r="23" spans="1:52" ht="15">
      <c r="A23" s="16"/>
      <c r="C23" s="4">
        <f t="shared" si="0"/>
        <v>51</v>
      </c>
      <c r="D23" s="4"/>
      <c r="E23" s="4">
        <v>11</v>
      </c>
      <c r="F23" s="16"/>
      <c r="G23" s="49"/>
      <c r="I23" s="35">
        <f t="shared" si="1"/>
        <v>0.000288</v>
      </c>
      <c r="K23" s="35">
        <f t="shared" si="2"/>
        <v>0.028800000000000003</v>
      </c>
      <c r="M23" s="35">
        <f t="shared" si="3"/>
        <v>0.189</v>
      </c>
      <c r="O23" s="35">
        <f t="shared" si="4"/>
        <v>0.1</v>
      </c>
      <c r="P23" s="16"/>
      <c r="Q23" s="49"/>
      <c r="S23" s="34">
        <f t="shared" si="14"/>
        <v>0.20117925254691174</v>
      </c>
      <c r="U23" s="34">
        <f t="shared" si="15"/>
        <v>0.707049571242616</v>
      </c>
      <c r="W23" s="34">
        <f t="shared" si="16"/>
        <v>0.0707049571242616</v>
      </c>
      <c r="Y23" s="34">
        <f t="shared" si="17"/>
        <v>0.0917711762104723</v>
      </c>
      <c r="AA23" s="9">
        <f t="shared" si="18"/>
        <v>1</v>
      </c>
      <c r="AB23" s="16"/>
      <c r="AC23" s="49"/>
      <c r="AE23" s="36">
        <f t="shared" si="5"/>
        <v>19683.71478977469</v>
      </c>
      <c r="AG23" s="36">
        <f t="shared" si="6"/>
        <v>3575.513577129887</v>
      </c>
      <c r="AI23" s="36">
        <f t="shared" si="7"/>
        <v>0</v>
      </c>
      <c r="AK23" s="36">
        <f t="shared" si="8"/>
        <v>0</v>
      </c>
      <c r="AL23" s="16"/>
      <c r="AN23" s="36">
        <f t="shared" si="9"/>
        <v>23259.22836690458</v>
      </c>
      <c r="AO23" s="16"/>
      <c r="AP23" s="49"/>
      <c r="AR23" s="45">
        <f t="shared" si="10"/>
        <v>0.11626893796009984</v>
      </c>
      <c r="AT23" s="45">
        <f t="shared" si="11"/>
        <v>0.3320119750192038</v>
      </c>
      <c r="AV23" s="45">
        <f t="shared" si="12"/>
        <v>-0.005107876538756982</v>
      </c>
      <c r="AW23" s="16"/>
      <c r="AY23" s="45">
        <f t="shared" si="13"/>
        <v>0.4431730364405467</v>
      </c>
      <c r="AZ23" s="16"/>
    </row>
    <row r="24" spans="1:52" ht="15">
      <c r="A24" s="16"/>
      <c r="C24" s="4">
        <f t="shared" si="0"/>
        <v>52</v>
      </c>
      <c r="D24" s="4"/>
      <c r="E24" s="4">
        <v>12</v>
      </c>
      <c r="F24" s="16"/>
      <c r="G24" s="49"/>
      <c r="I24" s="35">
        <f t="shared" si="1"/>
        <v>0.000306</v>
      </c>
      <c r="K24" s="35">
        <f t="shared" si="2"/>
        <v>0.030600000000000002</v>
      </c>
      <c r="M24" s="35">
        <f t="shared" si="3"/>
        <v>0.198</v>
      </c>
      <c r="O24" s="35">
        <f t="shared" si="4"/>
        <v>0.1</v>
      </c>
      <c r="P24" s="16"/>
      <c r="Q24" s="49"/>
      <c r="S24" s="34">
        <f t="shared" si="14"/>
        <v>0.1630984341908119</v>
      </c>
      <c r="U24" s="34">
        <f t="shared" si="15"/>
        <v>0.724709422322195</v>
      </c>
      <c r="W24" s="34">
        <f t="shared" si="16"/>
        <v>0.0724709422322195</v>
      </c>
      <c r="Y24" s="34">
        <f t="shared" si="17"/>
        <v>0.11219214348699316</v>
      </c>
      <c r="AA24" s="9">
        <f t="shared" si="18"/>
        <v>1.0000000000000002</v>
      </c>
      <c r="AB24" s="16"/>
      <c r="AC24" s="49"/>
      <c r="AE24" s="36">
        <f t="shared" si="5"/>
        <v>18680.717041064196</v>
      </c>
      <c r="AG24" s="36">
        <f t="shared" si="6"/>
        <v>3558.0762546214196</v>
      </c>
      <c r="AI24" s="36">
        <f t="shared" si="7"/>
        <v>0</v>
      </c>
      <c r="AK24" s="36">
        <f t="shared" si="8"/>
        <v>0</v>
      </c>
      <c r="AL24" s="16"/>
      <c r="AN24" s="36">
        <f t="shared" si="9"/>
        <v>22238.793295685617</v>
      </c>
      <c r="AO24" s="16"/>
      <c r="AP24" s="49"/>
      <c r="AR24" s="45">
        <f t="shared" si="10"/>
        <v>0.09151516818593054</v>
      </c>
      <c r="AT24" s="45">
        <f t="shared" si="11"/>
        <v>0.330392795071989</v>
      </c>
      <c r="AV24" s="45">
        <f t="shared" si="12"/>
        <v>-0.0050829660780306</v>
      </c>
      <c r="AW24" s="16"/>
      <c r="AY24" s="45">
        <f t="shared" si="13"/>
        <v>0.4168249971798889</v>
      </c>
      <c r="AZ24" s="16"/>
    </row>
    <row r="25" spans="1:52" ht="15">
      <c r="A25" s="16"/>
      <c r="C25" s="4">
        <f t="shared" si="0"/>
        <v>53</v>
      </c>
      <c r="D25" s="4"/>
      <c r="E25" s="4">
        <v>13</v>
      </c>
      <c r="F25" s="16"/>
      <c r="G25" s="49"/>
      <c r="I25" s="35">
        <f t="shared" si="1"/>
        <v>0.000324</v>
      </c>
      <c r="K25" s="35">
        <f t="shared" si="2"/>
        <v>0.0324</v>
      </c>
      <c r="M25" s="35">
        <f t="shared" si="3"/>
        <v>0.20700000000000002</v>
      </c>
      <c r="O25" s="35">
        <f t="shared" si="4"/>
        <v>0.1</v>
      </c>
      <c r="P25" s="16"/>
      <c r="Q25" s="49"/>
      <c r="S25" s="34">
        <f t="shared" si="14"/>
        <v>0.13075503610016875</v>
      </c>
      <c r="U25" s="34">
        <f t="shared" si="15"/>
        <v>0.7348268039689166</v>
      </c>
      <c r="W25" s="34">
        <f t="shared" si="16"/>
        <v>0.07348268039689167</v>
      </c>
      <c r="Y25" s="34">
        <f t="shared" si="17"/>
        <v>0.13441815993091472</v>
      </c>
      <c r="AA25" s="9">
        <f t="shared" si="18"/>
        <v>1</v>
      </c>
      <c r="AB25" s="16"/>
      <c r="AC25" s="49"/>
      <c r="AE25" s="36">
        <f t="shared" si="5"/>
        <v>17682.57341606413</v>
      </c>
      <c r="AG25" s="36">
        <f t="shared" si="6"/>
        <v>3502.6690777787667</v>
      </c>
      <c r="AI25" s="36">
        <f t="shared" si="7"/>
        <v>0</v>
      </c>
      <c r="AK25" s="36">
        <f t="shared" si="8"/>
        <v>0</v>
      </c>
      <c r="AL25" s="16"/>
      <c r="AN25" s="36">
        <f t="shared" si="9"/>
        <v>21185.242493842896</v>
      </c>
      <c r="AO25" s="16"/>
      <c r="AP25" s="49"/>
      <c r="AR25" s="45">
        <f t="shared" si="10"/>
        <v>0.07123025363461301</v>
      </c>
      <c r="AT25" s="45">
        <f t="shared" si="11"/>
        <v>0.32524784293659975</v>
      </c>
      <c r="AV25" s="45">
        <f t="shared" si="12"/>
        <v>-0.005003812968255381</v>
      </c>
      <c r="AW25" s="16"/>
      <c r="AY25" s="45">
        <f t="shared" si="13"/>
        <v>0.3914742836029574</v>
      </c>
      <c r="AZ25" s="16"/>
    </row>
    <row r="26" spans="1:52" ht="15">
      <c r="A26" s="16"/>
      <c r="C26" s="4">
        <f t="shared" si="0"/>
        <v>54</v>
      </c>
      <c r="D26" s="4"/>
      <c r="E26" s="4">
        <v>14</v>
      </c>
      <c r="F26" s="16"/>
      <c r="G26" s="49"/>
      <c r="I26" s="35">
        <f t="shared" si="1"/>
        <v>0.000342</v>
      </c>
      <c r="K26" s="35">
        <f t="shared" si="2"/>
        <v>0.0342</v>
      </c>
      <c r="M26" s="35">
        <f t="shared" si="3"/>
        <v>0.216</v>
      </c>
      <c r="O26" s="35">
        <f t="shared" si="4"/>
        <v>0.1</v>
      </c>
      <c r="P26" s="16"/>
      <c r="Q26" s="49"/>
      <c r="S26" s="34">
        <f t="shared" si="14"/>
        <v>0.10364637899573736</v>
      </c>
      <c r="U26" s="34">
        <f t="shared" si="15"/>
        <v>0.7380847079930587</v>
      </c>
      <c r="W26" s="34">
        <f t="shared" si="16"/>
        <v>0.07380847079930587</v>
      </c>
      <c r="Y26" s="34">
        <f t="shared" si="17"/>
        <v>0.15826891301120408</v>
      </c>
      <c r="AA26" s="9">
        <f t="shared" si="18"/>
        <v>1.0000000000000002</v>
      </c>
      <c r="AB26" s="16"/>
      <c r="AC26" s="49"/>
      <c r="AE26" s="36">
        <f t="shared" si="5"/>
        <v>16694.502279580625</v>
      </c>
      <c r="AG26" s="36">
        <f t="shared" si="6"/>
        <v>3415.726598596531</v>
      </c>
      <c r="AI26" s="36">
        <f t="shared" si="7"/>
        <v>0</v>
      </c>
      <c r="AK26" s="36">
        <f t="shared" si="8"/>
        <v>0</v>
      </c>
      <c r="AL26" s="16"/>
      <c r="AN26" s="36">
        <f t="shared" si="9"/>
        <v>20110.228878177157</v>
      </c>
      <c r="AO26" s="16"/>
      <c r="AP26" s="49"/>
      <c r="AR26" s="45">
        <f t="shared" si="10"/>
        <v>0.05481797333016554</v>
      </c>
      <c r="AT26" s="45">
        <f t="shared" si="11"/>
        <v>0.31717461272682074</v>
      </c>
      <c r="AV26" s="45">
        <f t="shared" si="12"/>
        <v>-0.004879609426566473</v>
      </c>
      <c r="AW26" s="16"/>
      <c r="AY26" s="45">
        <f t="shared" si="13"/>
        <v>0.3671129766304198</v>
      </c>
      <c r="AZ26" s="16"/>
    </row>
    <row r="27" spans="1:52" ht="15">
      <c r="A27" s="16"/>
      <c r="C27" s="4">
        <f t="shared" si="0"/>
        <v>55</v>
      </c>
      <c r="D27" s="4"/>
      <c r="E27" s="4">
        <v>15</v>
      </c>
      <c r="F27" s="16"/>
      <c r="G27" s="49"/>
      <c r="I27" s="35">
        <f t="shared" si="1"/>
        <v>0.00036</v>
      </c>
      <c r="K27" s="35">
        <f t="shared" si="2"/>
        <v>0.036000000000000004</v>
      </c>
      <c r="M27" s="35">
        <f t="shared" si="3"/>
        <v>0.225</v>
      </c>
      <c r="O27" s="35">
        <f t="shared" si="4"/>
        <v>0.1</v>
      </c>
      <c r="P27" s="16"/>
      <c r="Q27" s="49"/>
      <c r="S27" s="34">
        <f t="shared" si="14"/>
        <v>0.08122331407104155</v>
      </c>
      <c r="U27" s="34">
        <f t="shared" si="15"/>
        <v>0.7352298288427754</v>
      </c>
      <c r="W27" s="34">
        <f t="shared" si="16"/>
        <v>0.07352298288427754</v>
      </c>
      <c r="Y27" s="34">
        <f t="shared" si="17"/>
        <v>0.18354685708618323</v>
      </c>
      <c r="AA27" s="9">
        <f t="shared" si="18"/>
        <v>1.0000000000000002</v>
      </c>
      <c r="AB27" s="16"/>
      <c r="AC27" s="49"/>
      <c r="AE27" s="36">
        <f t="shared" si="5"/>
        <v>15721.506128064995</v>
      </c>
      <c r="AG27" s="36">
        <f t="shared" si="6"/>
        <v>3303.4123480762546</v>
      </c>
      <c r="AI27" s="36">
        <f t="shared" si="7"/>
        <v>0</v>
      </c>
      <c r="AK27" s="36">
        <f t="shared" si="8"/>
        <v>0</v>
      </c>
      <c r="AL27" s="16"/>
      <c r="AN27" s="36">
        <f t="shared" si="9"/>
        <v>19024.91847614125</v>
      </c>
      <c r="AO27" s="16"/>
      <c r="AP27" s="49"/>
      <c r="AR27" s="45">
        <f t="shared" si="10"/>
        <v>0.04170732363492317</v>
      </c>
      <c r="AT27" s="45">
        <f t="shared" si="11"/>
        <v>0.30674543232136653</v>
      </c>
      <c r="AV27" s="45">
        <f t="shared" si="12"/>
        <v>-0.004719160497251793</v>
      </c>
      <c r="AW27" s="16"/>
      <c r="AY27" s="45">
        <f t="shared" si="13"/>
        <v>0.3437335954590379</v>
      </c>
      <c r="AZ27" s="16"/>
    </row>
    <row r="28" spans="1:52" ht="15">
      <c r="A28" s="16"/>
      <c r="C28" s="4">
        <f t="shared" si="0"/>
        <v>56</v>
      </c>
      <c r="D28" s="4"/>
      <c r="E28" s="4">
        <v>16</v>
      </c>
      <c r="F28" s="16"/>
      <c r="G28" s="49"/>
      <c r="I28" s="35">
        <f t="shared" si="1"/>
        <v>0.000378</v>
      </c>
      <c r="K28" s="35">
        <f t="shared" si="2"/>
        <v>0.0378</v>
      </c>
      <c r="M28" s="35">
        <f t="shared" si="3"/>
        <v>0.234</v>
      </c>
      <c r="O28" s="35">
        <f t="shared" si="4"/>
        <v>0.15</v>
      </c>
      <c r="P28" s="16"/>
      <c r="Q28" s="49"/>
      <c r="S28" s="34">
        <f t="shared" si="14"/>
        <v>0.06291882801199163</v>
      </c>
      <c r="U28" s="34">
        <f t="shared" si="15"/>
        <v>0.7270368006704199</v>
      </c>
      <c r="W28" s="34">
        <f t="shared" si="16"/>
        <v>0.10905552010056298</v>
      </c>
      <c r="Y28" s="34">
        <f t="shared" si="17"/>
        <v>0.2100443713175887</v>
      </c>
      <c r="AA28" s="9">
        <f t="shared" si="18"/>
        <v>1.0000000000000002</v>
      </c>
      <c r="AB28" s="16"/>
      <c r="AC28" s="49"/>
      <c r="AE28" s="36">
        <f t="shared" si="5"/>
        <v>14768.226937371584</v>
      </c>
      <c r="AG28" s="36">
        <f t="shared" si="6"/>
        <v>4757.185626628784</v>
      </c>
      <c r="AI28" s="36">
        <f t="shared" si="7"/>
        <v>0</v>
      </c>
      <c r="AK28" s="36">
        <f t="shared" si="8"/>
        <v>0</v>
      </c>
      <c r="AL28" s="16"/>
      <c r="AN28" s="36">
        <f t="shared" si="9"/>
        <v>19525.41256400037</v>
      </c>
      <c r="AO28" s="16"/>
      <c r="AP28" s="49"/>
      <c r="AR28" s="45">
        <f t="shared" si="10"/>
        <v>0.031367146777239695</v>
      </c>
      <c r="AT28" s="45">
        <f t="shared" si="11"/>
        <v>0.29449244355321047</v>
      </c>
      <c r="AV28" s="45">
        <f t="shared" si="12"/>
        <v>-0.0067959794666125495</v>
      </c>
      <c r="AW28" s="16"/>
      <c r="AY28" s="45">
        <f t="shared" si="13"/>
        <v>0.3190636108638376</v>
      </c>
      <c r="AZ28" s="16"/>
    </row>
    <row r="29" spans="1:52" ht="15">
      <c r="A29" s="16"/>
      <c r="C29" s="4">
        <f t="shared" si="0"/>
        <v>57</v>
      </c>
      <c r="D29" s="4"/>
      <c r="E29" s="4">
        <v>17</v>
      </c>
      <c r="F29" s="16"/>
      <c r="G29" s="49"/>
      <c r="I29" s="35">
        <f t="shared" si="1"/>
        <v>0.00039600000000000003</v>
      </c>
      <c r="K29" s="35">
        <f t="shared" si="2"/>
        <v>0.039599999999999996</v>
      </c>
      <c r="M29" s="35">
        <f t="shared" si="3"/>
        <v>0.24300000000000002</v>
      </c>
      <c r="O29" s="35">
        <f t="shared" si="4"/>
        <v>0.15</v>
      </c>
      <c r="P29" s="16"/>
      <c r="Q29" s="49"/>
      <c r="S29" s="34">
        <f t="shared" si="14"/>
        <v>0.04817203894019705</v>
      </c>
      <c r="U29" s="34">
        <f t="shared" si="15"/>
        <v>0.714277815359884</v>
      </c>
      <c r="W29" s="34">
        <f t="shared" si="16"/>
        <v>0.1071416723039826</v>
      </c>
      <c r="Y29" s="34">
        <f t="shared" si="17"/>
        <v>0.23755014569991914</v>
      </c>
      <c r="AA29" s="9">
        <f t="shared" si="18"/>
        <v>1.0000000000000002</v>
      </c>
      <c r="AB29" s="16"/>
      <c r="AC29" s="49"/>
      <c r="AE29" s="36">
        <f t="shared" si="5"/>
        <v>13838.841029504962</v>
      </c>
      <c r="AG29" s="36">
        <f t="shared" si="6"/>
        <v>4537.57316454545</v>
      </c>
      <c r="AI29" s="36">
        <f t="shared" si="7"/>
        <v>0</v>
      </c>
      <c r="AK29" s="36">
        <f t="shared" si="8"/>
        <v>0</v>
      </c>
      <c r="AL29" s="16"/>
      <c r="AN29" s="36">
        <f t="shared" si="9"/>
        <v>18376.414194050412</v>
      </c>
      <c r="AO29" s="16"/>
      <c r="AP29" s="49"/>
      <c r="AR29" s="45">
        <f t="shared" si="10"/>
        <v>0.023315900630955153</v>
      </c>
      <c r="AT29" s="45">
        <f t="shared" si="11"/>
        <v>0.2808973863766231</v>
      </c>
      <c r="AV29" s="45">
        <f t="shared" si="12"/>
        <v>-0.006482247377922071</v>
      </c>
      <c r="AW29" s="16"/>
      <c r="AY29" s="45">
        <f t="shared" si="13"/>
        <v>0.2977310396296562</v>
      </c>
      <c r="AZ29" s="16"/>
    </row>
    <row r="30" spans="1:52" ht="15">
      <c r="A30" s="16"/>
      <c r="C30" s="4">
        <f t="shared" si="0"/>
        <v>58</v>
      </c>
      <c r="D30" s="4"/>
      <c r="E30" s="4">
        <v>18</v>
      </c>
      <c r="F30" s="16"/>
      <c r="G30" s="49"/>
      <c r="I30" s="35">
        <f t="shared" si="1"/>
        <v>0.00041400000000000003</v>
      </c>
      <c r="K30" s="35">
        <f t="shared" si="2"/>
        <v>0.0414</v>
      </c>
      <c r="M30" s="35">
        <f t="shared" si="3"/>
        <v>0.25200000000000006</v>
      </c>
      <c r="O30" s="35">
        <f t="shared" si="4"/>
        <v>0.15</v>
      </c>
      <c r="P30" s="16"/>
      <c r="Q30" s="49"/>
      <c r="S30" s="34">
        <f t="shared" si="14"/>
        <v>0.036447157350308845</v>
      </c>
      <c r="U30" s="34">
        <f t="shared" si="15"/>
        <v>0.6976982193341005</v>
      </c>
      <c r="W30" s="34">
        <f t="shared" si="16"/>
        <v>0.10465473290011507</v>
      </c>
      <c r="Y30" s="34">
        <f t="shared" si="17"/>
        <v>0.2658546233155909</v>
      </c>
      <c r="AA30" s="9">
        <f t="shared" si="18"/>
        <v>1.0000000000000002</v>
      </c>
      <c r="AB30" s="16"/>
      <c r="AC30" s="49"/>
      <c r="AE30" s="36">
        <f t="shared" si="5"/>
        <v>12936.991064125401</v>
      </c>
      <c r="AG30" s="36">
        <f t="shared" si="6"/>
        <v>4303.153803693497</v>
      </c>
      <c r="AI30" s="36">
        <f t="shared" si="7"/>
        <v>0</v>
      </c>
      <c r="AK30" s="36">
        <f t="shared" si="8"/>
        <v>0</v>
      </c>
      <c r="AL30" s="16"/>
      <c r="AN30" s="36">
        <f t="shared" si="9"/>
        <v>17240.144867818897</v>
      </c>
      <c r="AO30" s="16"/>
      <c r="AP30" s="49"/>
      <c r="AR30" s="45">
        <f t="shared" si="10"/>
        <v>0.017127090952410867</v>
      </c>
      <c r="AT30" s="45">
        <f t="shared" si="11"/>
        <v>0.26638571165721653</v>
      </c>
      <c r="AV30" s="45">
        <f t="shared" si="12"/>
        <v>-0.006147362576704997</v>
      </c>
      <c r="AW30" s="16"/>
      <c r="AY30" s="45">
        <f t="shared" si="13"/>
        <v>0.2773654400329224</v>
      </c>
      <c r="AZ30" s="16"/>
    </row>
    <row r="31" spans="1:52" ht="15">
      <c r="A31" s="16"/>
      <c r="C31" s="4">
        <f t="shared" si="0"/>
        <v>59</v>
      </c>
      <c r="D31" s="4"/>
      <c r="E31" s="4">
        <v>19</v>
      </c>
      <c r="F31" s="16"/>
      <c r="G31" s="49"/>
      <c r="I31" s="35">
        <f t="shared" si="1"/>
        <v>0.00043200000000000004</v>
      </c>
      <c r="K31" s="35">
        <f t="shared" si="2"/>
        <v>0.0432</v>
      </c>
      <c r="M31" s="35">
        <f t="shared" si="3"/>
        <v>0.261</v>
      </c>
      <c r="O31" s="35">
        <f t="shared" si="4"/>
        <v>0.15</v>
      </c>
      <c r="P31" s="16"/>
      <c r="Q31" s="49"/>
      <c r="S31" s="34">
        <f t="shared" si="14"/>
        <v>0.027247384574887984</v>
      </c>
      <c r="U31" s="34">
        <f t="shared" si="15"/>
        <v>0.6779981967059466</v>
      </c>
      <c r="W31" s="34">
        <f t="shared" si="16"/>
        <v>0.101699729505892</v>
      </c>
      <c r="Y31" s="34">
        <f t="shared" si="17"/>
        <v>0.2947544187191657</v>
      </c>
      <c r="AA31" s="9">
        <f t="shared" si="18"/>
        <v>1.0000000000000002</v>
      </c>
      <c r="AB31" s="16"/>
      <c r="AC31" s="49"/>
      <c r="AE31" s="36">
        <f t="shared" si="5"/>
        <v>12065.75101425941</v>
      </c>
      <c r="AG31" s="36">
        <f t="shared" si="6"/>
        <v>4059.8554267433847</v>
      </c>
      <c r="AI31" s="36">
        <f t="shared" si="7"/>
        <v>0</v>
      </c>
      <c r="AK31" s="36">
        <f t="shared" si="8"/>
        <v>0</v>
      </c>
      <c r="AL31" s="16"/>
      <c r="AN31" s="36">
        <f t="shared" si="9"/>
        <v>16125.606441002794</v>
      </c>
      <c r="AO31" s="16"/>
      <c r="AP31" s="49"/>
      <c r="AR31" s="45">
        <f t="shared" si="10"/>
        <v>0.01243104215218352</v>
      </c>
      <c r="AT31" s="45">
        <f t="shared" si="11"/>
        <v>0.2513243835603048</v>
      </c>
      <c r="AV31" s="45">
        <f t="shared" si="12"/>
        <v>-0.0057997934667762645</v>
      </c>
      <c r="AW31" s="16"/>
      <c r="AY31" s="45">
        <f t="shared" si="13"/>
        <v>0.25795563224571205</v>
      </c>
      <c r="AZ31" s="16"/>
    </row>
    <row r="32" spans="1:52" ht="15">
      <c r="A32" s="16"/>
      <c r="C32" s="4">
        <f t="shared" si="0"/>
        <v>60</v>
      </c>
      <c r="D32" s="4"/>
      <c r="E32" s="4">
        <v>20</v>
      </c>
      <c r="F32" s="16"/>
      <c r="G32" s="49"/>
      <c r="I32" s="35">
        <f t="shared" si="1"/>
        <v>0.009000000000000001</v>
      </c>
      <c r="K32" s="35">
        <f t="shared" si="2"/>
        <v>0.045000000000000005</v>
      </c>
      <c r="M32" s="35">
        <f t="shared" si="3"/>
        <v>0.27</v>
      </c>
      <c r="O32" s="35">
        <f t="shared" si="4"/>
        <v>0.4</v>
      </c>
      <c r="P32" s="16"/>
      <c r="Q32" s="49"/>
      <c r="S32" s="34">
        <f t="shared" si="14"/>
        <v>0.02012404633070587</v>
      </c>
      <c r="U32" s="34">
        <f t="shared" si="15"/>
        <v>0.6558202419822955</v>
      </c>
      <c r="W32" s="34">
        <f t="shared" si="16"/>
        <v>0.2623280967929182</v>
      </c>
      <c r="Y32" s="34">
        <f t="shared" si="17"/>
        <v>0.324055711686999</v>
      </c>
      <c r="AA32" s="9">
        <f t="shared" si="18"/>
        <v>1.0000000000000004</v>
      </c>
      <c r="AB32" s="16"/>
      <c r="AC32" s="49"/>
      <c r="AE32" s="36">
        <f t="shared" si="5"/>
        <v>11227.618908589393</v>
      </c>
      <c r="AG32" s="36">
        <f t="shared" si="6"/>
        <v>10167.12947852594</v>
      </c>
      <c r="AI32" s="36">
        <f t="shared" si="7"/>
        <v>0</v>
      </c>
      <c r="AK32" s="36">
        <f t="shared" si="8"/>
        <v>0</v>
      </c>
      <c r="AL32" s="16"/>
      <c r="AN32" s="36">
        <f t="shared" si="9"/>
        <v>21394.74838711533</v>
      </c>
      <c r="AO32" s="16"/>
      <c r="AP32" s="49"/>
      <c r="AR32" s="45">
        <f t="shared" si="10"/>
        <v>0.008913757223547456</v>
      </c>
      <c r="AT32" s="45">
        <f t="shared" si="11"/>
        <v>0.23602264860863792</v>
      </c>
      <c r="AV32" s="45">
        <f t="shared" si="12"/>
        <v>-0.014524470683608487</v>
      </c>
      <c r="AW32" s="16"/>
      <c r="AY32" s="45">
        <f t="shared" si="13"/>
        <v>0.23041193514857689</v>
      </c>
      <c r="AZ32" s="16"/>
    </row>
    <row r="33" spans="1:52" ht="15">
      <c r="A33" s="16"/>
      <c r="C33" s="4">
        <f t="shared" si="0"/>
        <v>61</v>
      </c>
      <c r="D33" s="4"/>
      <c r="E33" s="4">
        <v>21</v>
      </c>
      <c r="F33" s="16"/>
      <c r="G33" s="49"/>
      <c r="I33" s="35">
        <f t="shared" si="1"/>
        <v>0.0135</v>
      </c>
      <c r="K33" s="35">
        <f t="shared" si="2"/>
        <v>0.0495</v>
      </c>
      <c r="M33" s="35">
        <f t="shared" si="3"/>
        <v>0.279</v>
      </c>
      <c r="O33" s="35">
        <f t="shared" si="4"/>
        <v>0.4</v>
      </c>
      <c r="P33" s="16"/>
      <c r="Q33" s="49"/>
      <c r="S33" s="34">
        <f t="shared" si="14"/>
        <v>0.01450943740443893</v>
      </c>
      <c r="U33" s="34">
        <f t="shared" si="15"/>
        <v>0.6317418236023827</v>
      </c>
      <c r="W33" s="34">
        <f t="shared" si="16"/>
        <v>0.2526967294409531</v>
      </c>
      <c r="Y33" s="34">
        <f t="shared" si="17"/>
        <v>0.35374873899317866</v>
      </c>
      <c r="AA33" s="9">
        <f t="shared" si="18"/>
        <v>1.0000000000000002</v>
      </c>
      <c r="AB33" s="16"/>
      <c r="AC33" s="49"/>
      <c r="AE33" s="36">
        <f t="shared" si="5"/>
        <v>10421.75692228608</v>
      </c>
      <c r="AG33" s="36">
        <f t="shared" si="6"/>
        <v>9508.586075490095</v>
      </c>
      <c r="AI33" s="36">
        <f t="shared" si="7"/>
        <v>0</v>
      </c>
      <c r="AK33" s="36">
        <f t="shared" si="8"/>
        <v>0</v>
      </c>
      <c r="AL33" s="16"/>
      <c r="AN33" s="36">
        <f t="shared" si="9"/>
        <v>19930.342997776177</v>
      </c>
      <c r="AO33" s="16"/>
      <c r="AP33" s="49"/>
      <c r="AR33" s="45">
        <f t="shared" si="10"/>
        <v>0.0062396300564832195</v>
      </c>
      <c r="AT33" s="45">
        <f t="shared" si="11"/>
        <v>0.22073503389530574</v>
      </c>
      <c r="AV33" s="45">
        <f t="shared" si="12"/>
        <v>-0.013583694393557279</v>
      </c>
      <c r="AW33" s="16"/>
      <c r="AY33" s="45">
        <f t="shared" si="13"/>
        <v>0.2133909695582317</v>
      </c>
      <c r="AZ33" s="16"/>
    </row>
    <row r="34" spans="1:52" ht="15">
      <c r="A34" s="16"/>
      <c r="C34" s="4">
        <f t="shared" si="0"/>
        <v>62</v>
      </c>
      <c r="D34" s="4"/>
      <c r="E34" s="4">
        <v>22</v>
      </c>
      <c r="F34" s="16"/>
      <c r="G34" s="49"/>
      <c r="I34" s="35">
        <f t="shared" si="1"/>
        <v>0.018000000000000002</v>
      </c>
      <c r="K34" s="35">
        <f t="shared" si="2"/>
        <v>0.054</v>
      </c>
      <c r="M34" s="35">
        <f t="shared" si="3"/>
        <v>0.28800000000000003</v>
      </c>
      <c r="O34" s="35">
        <f t="shared" si="4"/>
        <v>0.4</v>
      </c>
      <c r="P34" s="16"/>
      <c r="Q34" s="49"/>
      <c r="S34" s="34">
        <f t="shared" si="14"/>
        <v>0.010265426963640543</v>
      </c>
      <c r="U34" s="34">
        <f t="shared" si="15"/>
        <v>0.6045187363699033</v>
      </c>
      <c r="W34" s="34">
        <f t="shared" si="16"/>
        <v>0.24180749454796133</v>
      </c>
      <c r="Y34" s="34">
        <f t="shared" si="17"/>
        <v>0.38521583666645653</v>
      </c>
      <c r="AA34" s="9">
        <f t="shared" si="18"/>
        <v>1.0000000000000004</v>
      </c>
      <c r="AB34" s="16"/>
      <c r="AC34" s="49"/>
      <c r="AE34" s="36">
        <f t="shared" si="5"/>
        <v>9625.537335154533</v>
      </c>
      <c r="AG34" s="36">
        <f t="shared" si="6"/>
        <v>8833.826264325138</v>
      </c>
      <c r="AI34" s="36">
        <f t="shared" si="7"/>
        <v>0</v>
      </c>
      <c r="AK34" s="36">
        <f t="shared" si="8"/>
        <v>0</v>
      </c>
      <c r="AL34" s="16"/>
      <c r="AN34" s="36">
        <f t="shared" si="9"/>
        <v>18459.36359947967</v>
      </c>
      <c r="AO34" s="16"/>
      <c r="AP34" s="49"/>
      <c r="AR34" s="45">
        <f t="shared" si="10"/>
        <v>0.004285959480545512</v>
      </c>
      <c r="AT34" s="45">
        <f t="shared" si="11"/>
        <v>0.20507096685040502</v>
      </c>
      <c r="AV34" s="45">
        <f t="shared" si="12"/>
        <v>-0.01261975180617877</v>
      </c>
      <c r="AW34" s="16"/>
      <c r="AY34" s="45">
        <f t="shared" si="13"/>
        <v>0.19673717452477177</v>
      </c>
      <c r="AZ34" s="16"/>
    </row>
    <row r="35" spans="1:52" ht="15">
      <c r="A35" s="16"/>
      <c r="C35" s="4">
        <f t="shared" si="0"/>
        <v>63</v>
      </c>
      <c r="D35" s="4"/>
      <c r="E35" s="4">
        <v>23</v>
      </c>
      <c r="F35" s="16"/>
      <c r="G35" s="49"/>
      <c r="I35" s="35">
        <f t="shared" si="1"/>
        <v>0.022500000000000003</v>
      </c>
      <c r="K35" s="35">
        <f t="shared" si="2"/>
        <v>0.0585</v>
      </c>
      <c r="M35" s="35">
        <f t="shared" si="3"/>
        <v>0.29700000000000004</v>
      </c>
      <c r="O35" s="35">
        <f t="shared" si="4"/>
        <v>0.4</v>
      </c>
      <c r="P35" s="16"/>
      <c r="Q35" s="49"/>
      <c r="S35" s="34">
        <f t="shared" si="14"/>
        <v>0.007124206312766537</v>
      </c>
      <c r="U35" s="34">
        <f t="shared" si="15"/>
        <v>0.5748311675714569</v>
      </c>
      <c r="W35" s="34">
        <f t="shared" si="16"/>
        <v>0.22993246702858278</v>
      </c>
      <c r="Y35" s="34">
        <f t="shared" si="17"/>
        <v>0.41804462611577686</v>
      </c>
      <c r="AA35" s="9">
        <f t="shared" si="18"/>
        <v>1.0000000000000004</v>
      </c>
      <c r="AB35" s="16"/>
      <c r="AC35" s="49"/>
      <c r="AE35" s="36">
        <f t="shared" si="5"/>
        <v>8846.159577043616</v>
      </c>
      <c r="AG35" s="36">
        <f t="shared" si="6"/>
        <v>8155.3418617626</v>
      </c>
      <c r="AI35" s="36">
        <f t="shared" si="7"/>
        <v>0</v>
      </c>
      <c r="AK35" s="36">
        <f t="shared" si="8"/>
        <v>0</v>
      </c>
      <c r="AL35" s="16"/>
      <c r="AN35" s="36">
        <f t="shared" si="9"/>
        <v>17001.501438806215</v>
      </c>
      <c r="AO35" s="16"/>
      <c r="AP35" s="49"/>
      <c r="AR35" s="45">
        <f t="shared" si="10"/>
        <v>0.002887821242231636</v>
      </c>
      <c r="AT35" s="45">
        <f t="shared" si="11"/>
        <v>0.18932043607663182</v>
      </c>
      <c r="AV35" s="45">
        <f t="shared" si="12"/>
        <v>-0.011650488373946574</v>
      </c>
      <c r="AW35" s="16"/>
      <c r="AY35" s="45">
        <f t="shared" si="13"/>
        <v>0.18055776894491687</v>
      </c>
      <c r="AZ35" s="16"/>
    </row>
    <row r="36" spans="1:52" ht="15">
      <c r="A36" s="16"/>
      <c r="C36" s="4">
        <f t="shared" si="0"/>
        <v>64</v>
      </c>
      <c r="D36" s="4"/>
      <c r="E36" s="4">
        <v>24</v>
      </c>
      <c r="F36" s="16"/>
      <c r="G36" s="49"/>
      <c r="I36" s="35">
        <f t="shared" si="1"/>
        <v>0.027</v>
      </c>
      <c r="K36" s="35">
        <f t="shared" si="2"/>
        <v>0.06300000000000001</v>
      </c>
      <c r="M36" s="35">
        <f t="shared" si="3"/>
        <v>0.30600000000000005</v>
      </c>
      <c r="O36" s="35">
        <f t="shared" si="4"/>
        <v>0.4</v>
      </c>
      <c r="P36" s="16"/>
      <c r="Q36" s="49"/>
      <c r="S36" s="34">
        <f t="shared" si="14"/>
        <v>0.004848022395837628</v>
      </c>
      <c r="U36" s="34">
        <f t="shared" si="15"/>
        <v>0.5433194335434184</v>
      </c>
      <c r="W36" s="34">
        <f t="shared" si="16"/>
        <v>0.21732777341736736</v>
      </c>
      <c r="Y36" s="34">
        <f t="shared" si="17"/>
        <v>0.45183254406074436</v>
      </c>
      <c r="AA36" s="9">
        <f t="shared" si="18"/>
        <v>1.0000000000000004</v>
      </c>
      <c r="AB36" s="16"/>
      <c r="AC36" s="49"/>
      <c r="AE36" s="36">
        <f t="shared" si="5"/>
        <v>8089.861942197649</v>
      </c>
      <c r="AG36" s="36">
        <f t="shared" si="6"/>
        <v>7483.760451128629</v>
      </c>
      <c r="AI36" s="36">
        <f t="shared" si="7"/>
        <v>0</v>
      </c>
      <c r="AK36" s="36">
        <f t="shared" si="8"/>
        <v>0</v>
      </c>
      <c r="AL36" s="16"/>
      <c r="AN36" s="36">
        <f t="shared" si="9"/>
        <v>15573.622393326277</v>
      </c>
      <c r="AO36" s="16"/>
      <c r="AP36" s="49"/>
      <c r="AR36" s="45">
        <f t="shared" si="10"/>
        <v>0.0019079246168336199</v>
      </c>
      <c r="AT36" s="45">
        <f t="shared" si="11"/>
        <v>0.17373015332977174</v>
      </c>
      <c r="AV36" s="45">
        <f t="shared" si="12"/>
        <v>-0.010691086358755186</v>
      </c>
      <c r="AW36" s="16"/>
      <c r="AY36" s="45">
        <f t="shared" si="13"/>
        <v>0.16494699158785017</v>
      </c>
      <c r="AZ36" s="16"/>
    </row>
    <row r="37" spans="1:52" ht="15">
      <c r="A37" s="16"/>
      <c r="C37" s="4">
        <f t="shared" si="0"/>
        <v>65</v>
      </c>
      <c r="D37" s="4"/>
      <c r="E37" s="4">
        <v>25</v>
      </c>
      <c r="F37" s="16"/>
      <c r="G37" s="49"/>
      <c r="I37" s="35">
        <f t="shared" si="1"/>
        <v>0.03150000000000001</v>
      </c>
      <c r="K37" s="35">
        <f t="shared" si="2"/>
        <v>0.0675</v>
      </c>
      <c r="M37" s="35">
        <f t="shared" si="3"/>
        <v>0.315</v>
      </c>
      <c r="O37" s="35">
        <f t="shared" si="4"/>
        <v>0.4</v>
      </c>
      <c r="P37" s="16"/>
      <c r="Q37" s="49"/>
      <c r="S37" s="34">
        <f t="shared" si="14"/>
        <v>0.0032336309380236973</v>
      </c>
      <c r="U37" s="34">
        <f t="shared" si="15"/>
        <v>0.5105738040833093</v>
      </c>
      <c r="W37" s="34">
        <f t="shared" si="16"/>
        <v>0.20422952163332375</v>
      </c>
      <c r="Y37" s="34">
        <f t="shared" si="17"/>
        <v>0.48619256497866736</v>
      </c>
      <c r="AA37" s="9">
        <f t="shared" si="18"/>
        <v>1.0000000000000004</v>
      </c>
      <c r="AB37" s="16"/>
      <c r="AC37" s="49"/>
      <c r="AE37" s="36">
        <f t="shared" si="5"/>
        <v>7361.918774827109</v>
      </c>
      <c r="AG37" s="36">
        <f t="shared" si="6"/>
        <v>6827.880985780402</v>
      </c>
      <c r="AI37" s="36">
        <f t="shared" si="7"/>
        <v>0</v>
      </c>
      <c r="AK37" s="36">
        <f t="shared" si="8"/>
        <v>0</v>
      </c>
      <c r="AL37" s="16"/>
      <c r="AN37" s="36">
        <f t="shared" si="9"/>
        <v>14189.799760607511</v>
      </c>
      <c r="AO37" s="16"/>
      <c r="AP37" s="49"/>
      <c r="AR37" s="45">
        <f t="shared" si="10"/>
        <v>0.001235520115949538</v>
      </c>
      <c r="AT37" s="45">
        <f t="shared" si="11"/>
        <v>0.15850438002704503</v>
      </c>
      <c r="AV37" s="45">
        <f t="shared" si="12"/>
        <v>-0.009754115693972004</v>
      </c>
      <c r="AW37" s="16"/>
      <c r="AY37" s="45">
        <f t="shared" si="13"/>
        <v>0.14998578444902258</v>
      </c>
      <c r="AZ37" s="16"/>
    </row>
    <row r="38" spans="1:52" ht="15">
      <c r="A38" s="16"/>
      <c r="C38" s="4">
        <f t="shared" si="0"/>
        <v>66</v>
      </c>
      <c r="D38" s="4"/>
      <c r="E38" s="4">
        <v>26</v>
      </c>
      <c r="F38" s="16"/>
      <c r="G38" s="49"/>
      <c r="I38" s="35">
        <f t="shared" si="1"/>
        <v>0.036000000000000004</v>
      </c>
      <c r="K38" s="35">
        <f t="shared" si="2"/>
        <v>0.07200000000000001</v>
      </c>
      <c r="M38" s="35">
        <f t="shared" si="3"/>
        <v>0.324</v>
      </c>
      <c r="O38" s="35">
        <f t="shared" si="4"/>
        <v>0.4</v>
      </c>
      <c r="P38" s="16"/>
      <c r="Q38" s="49"/>
      <c r="S38" s="34">
        <f t="shared" si="14"/>
        <v>0.002113177817998486</v>
      </c>
      <c r="U38" s="34">
        <f t="shared" si="15"/>
        <v>0.47712866605316334</v>
      </c>
      <c r="W38" s="34">
        <f t="shared" si="16"/>
        <v>0.19085146642126535</v>
      </c>
      <c r="Y38" s="34">
        <f t="shared" si="17"/>
        <v>0.5207581561288385</v>
      </c>
      <c r="AA38" s="9">
        <f t="shared" si="18"/>
        <v>1.0000000000000002</v>
      </c>
      <c r="AB38" s="16"/>
      <c r="AC38" s="49"/>
      <c r="AE38" s="36">
        <f t="shared" si="5"/>
        <v>6666.657485128941</v>
      </c>
      <c r="AG38" s="36">
        <f t="shared" si="6"/>
        <v>6194.777309241327</v>
      </c>
      <c r="AI38" s="36">
        <f t="shared" si="7"/>
        <v>0</v>
      </c>
      <c r="AK38" s="36">
        <f t="shared" si="8"/>
        <v>0</v>
      </c>
      <c r="AL38" s="16"/>
      <c r="AN38" s="36">
        <f t="shared" si="9"/>
        <v>12861.434794370267</v>
      </c>
      <c r="AO38" s="16"/>
      <c r="AP38" s="49"/>
      <c r="AR38" s="45">
        <f t="shared" si="10"/>
        <v>0.0007838955298767213</v>
      </c>
      <c r="AT38" s="45">
        <f t="shared" si="11"/>
        <v>0.14380733039310223</v>
      </c>
      <c r="AV38" s="45">
        <f t="shared" si="12"/>
        <v>-0.008849681870344753</v>
      </c>
      <c r="AW38" s="16"/>
      <c r="AY38" s="45">
        <f t="shared" si="13"/>
        <v>0.13574154405263422</v>
      </c>
      <c r="AZ38" s="16"/>
    </row>
    <row r="39" spans="1:52" ht="15">
      <c r="A39" s="16"/>
      <c r="C39" s="4">
        <f t="shared" si="0"/>
        <v>67</v>
      </c>
      <c r="D39" s="4"/>
      <c r="E39" s="4">
        <v>27</v>
      </c>
      <c r="F39" s="16"/>
      <c r="G39" s="49"/>
      <c r="I39" s="35">
        <f t="shared" si="1"/>
        <v>0.0405</v>
      </c>
      <c r="K39" s="35">
        <f t="shared" si="2"/>
        <v>0.07650000000000001</v>
      </c>
      <c r="M39" s="35">
        <f t="shared" si="3"/>
        <v>0.333</v>
      </c>
      <c r="O39" s="35">
        <f t="shared" si="4"/>
        <v>0.4</v>
      </c>
      <c r="P39" s="16"/>
      <c r="Q39" s="49"/>
      <c r="S39" s="34">
        <f t="shared" si="14"/>
        <v>0.0013524338035190312</v>
      </c>
      <c r="U39" s="34">
        <f t="shared" si="15"/>
        <v>0.44346007171036705</v>
      </c>
      <c r="W39" s="34">
        <f t="shared" si="16"/>
        <v>0.17738402868414682</v>
      </c>
      <c r="Y39" s="34">
        <f t="shared" si="17"/>
        <v>0.5551874944861142</v>
      </c>
      <c r="AA39" s="9">
        <f t="shared" si="18"/>
        <v>1.0000000000000002</v>
      </c>
      <c r="AB39" s="16"/>
      <c r="AC39" s="49"/>
      <c r="AE39" s="36">
        <f t="shared" si="5"/>
        <v>6007.491655499991</v>
      </c>
      <c r="AG39" s="36">
        <f t="shared" si="6"/>
        <v>5589.944386684226</v>
      </c>
      <c r="AI39" s="36">
        <f t="shared" si="7"/>
        <v>0</v>
      </c>
      <c r="AK39" s="36">
        <f t="shared" si="8"/>
        <v>0</v>
      </c>
      <c r="AL39" s="16"/>
      <c r="AN39" s="36">
        <f t="shared" si="9"/>
        <v>11597.436042184218</v>
      </c>
      <c r="AO39" s="16"/>
      <c r="AP39" s="49"/>
      <c r="AR39" s="45">
        <f t="shared" si="10"/>
        <v>0.0004870807175933026</v>
      </c>
      <c r="AT39" s="45">
        <f t="shared" si="11"/>
        <v>0.12976656611945525</v>
      </c>
      <c r="AV39" s="45">
        <f t="shared" si="12"/>
        <v>-0.007985634838120323</v>
      </c>
      <c r="AW39" s="16"/>
      <c r="AY39" s="45">
        <f t="shared" si="13"/>
        <v>0.12226801199892821</v>
      </c>
      <c r="AZ39" s="16"/>
    </row>
    <row r="40" spans="1:52" ht="15">
      <c r="A40" s="16"/>
      <c r="C40" s="4">
        <f t="shared" si="0"/>
        <v>68</v>
      </c>
      <c r="D40" s="4"/>
      <c r="E40" s="4">
        <v>28</v>
      </c>
      <c r="F40" s="16"/>
      <c r="G40" s="49"/>
      <c r="I40" s="35">
        <f t="shared" si="1"/>
        <v>0.045000000000000005</v>
      </c>
      <c r="K40" s="35">
        <f t="shared" si="2"/>
        <v>0.081</v>
      </c>
      <c r="M40" s="35">
        <f t="shared" si="3"/>
        <v>0.342</v>
      </c>
      <c r="O40" s="35">
        <f t="shared" si="4"/>
        <v>0.4</v>
      </c>
      <c r="P40" s="16"/>
      <c r="Q40" s="49"/>
      <c r="S40" s="34">
        <f t="shared" si="14"/>
        <v>0.000847299777904673</v>
      </c>
      <c r="U40" s="34">
        <f t="shared" si="15"/>
        <v>0.4099857366810958</v>
      </c>
      <c r="W40" s="34">
        <f t="shared" si="16"/>
        <v>0.1639942946724383</v>
      </c>
      <c r="Y40" s="34">
        <f t="shared" si="17"/>
        <v>0.5891669635409997</v>
      </c>
      <c r="AA40" s="9">
        <f t="shared" si="18"/>
        <v>1.0000000000000002</v>
      </c>
      <c r="AB40" s="16"/>
      <c r="AC40" s="49"/>
      <c r="AE40" s="36">
        <f t="shared" si="5"/>
        <v>5386.9670901194095</v>
      </c>
      <c r="AG40" s="36">
        <f t="shared" si="6"/>
        <v>5017.466569773235</v>
      </c>
      <c r="AI40" s="36">
        <f t="shared" si="7"/>
        <v>0</v>
      </c>
      <c r="AK40" s="36">
        <f t="shared" si="8"/>
        <v>0</v>
      </c>
      <c r="AL40" s="16"/>
      <c r="AN40" s="36">
        <f t="shared" si="9"/>
        <v>10404.433659892646</v>
      </c>
      <c r="AO40" s="16"/>
      <c r="AP40" s="49"/>
      <c r="AR40" s="45">
        <f t="shared" si="10"/>
        <v>0.0002962680287108778</v>
      </c>
      <c r="AT40" s="45">
        <f t="shared" si="11"/>
        <v>0.11647690251259296</v>
      </c>
      <c r="AV40" s="45">
        <f t="shared" si="12"/>
        <v>-0.007167809385390336</v>
      </c>
      <c r="AW40" s="16"/>
      <c r="AY40" s="45">
        <f t="shared" si="13"/>
        <v>0.1096053611559135</v>
      </c>
      <c r="AZ40" s="16"/>
    </row>
    <row r="41" spans="1:52" ht="15">
      <c r="A41" s="16"/>
      <c r="C41" s="4">
        <f t="shared" si="0"/>
        <v>69</v>
      </c>
      <c r="D41" s="4"/>
      <c r="E41" s="4">
        <v>29</v>
      </c>
      <c r="F41" s="16"/>
      <c r="G41" s="49"/>
      <c r="I41" s="35">
        <f t="shared" si="1"/>
        <v>0.0495</v>
      </c>
      <c r="K41" s="35">
        <f t="shared" si="2"/>
        <v>0.0855</v>
      </c>
      <c r="M41" s="35">
        <f t="shared" si="3"/>
        <v>0.35100000000000003</v>
      </c>
      <c r="O41" s="35">
        <f t="shared" si="4"/>
        <v>0.4</v>
      </c>
      <c r="P41" s="16"/>
      <c r="Q41" s="49"/>
      <c r="S41" s="34">
        <f t="shared" si="14"/>
        <v>0.0005193947638555646</v>
      </c>
      <c r="U41" s="34">
        <f t="shared" si="15"/>
        <v>0.3770666685339704</v>
      </c>
      <c r="W41" s="34">
        <f t="shared" si="16"/>
        <v>0.1508266674135882</v>
      </c>
      <c r="Y41" s="34">
        <f t="shared" si="17"/>
        <v>0.6224139367021743</v>
      </c>
      <c r="AA41" s="9">
        <f t="shared" si="18"/>
        <v>1.0000000000000002</v>
      </c>
      <c r="AB41" s="16"/>
      <c r="AC41" s="49"/>
      <c r="AE41" s="36">
        <f t="shared" si="5"/>
        <v>4806.818172483979</v>
      </c>
      <c r="AG41" s="36">
        <f t="shared" si="6"/>
        <v>4480.19233584978</v>
      </c>
      <c r="AI41" s="36">
        <f t="shared" si="7"/>
        <v>0</v>
      </c>
      <c r="AK41" s="36">
        <f t="shared" si="8"/>
        <v>0</v>
      </c>
      <c r="AL41" s="16"/>
      <c r="AN41" s="36">
        <f t="shared" si="9"/>
        <v>9287.010508333758</v>
      </c>
      <c r="AO41" s="16"/>
      <c r="AP41" s="49"/>
      <c r="AR41" s="45">
        <f t="shared" si="10"/>
        <v>0.00017632262291239622</v>
      </c>
      <c r="AT41" s="45">
        <f t="shared" si="11"/>
        <v>0.10400446493936989</v>
      </c>
      <c r="AV41" s="45">
        <f t="shared" si="12"/>
        <v>-0.006400274765499686</v>
      </c>
      <c r="AW41" s="16"/>
      <c r="AY41" s="45">
        <f t="shared" si="13"/>
        <v>0.0977805127967826</v>
      </c>
      <c r="AZ41" s="16"/>
    </row>
    <row r="42" spans="1:52" ht="15">
      <c r="A42" s="16"/>
      <c r="C42" s="4">
        <f t="shared" si="0"/>
        <v>70</v>
      </c>
      <c r="D42" s="4"/>
      <c r="E42" s="4">
        <v>30</v>
      </c>
      <c r="F42" s="16"/>
      <c r="G42" s="49"/>
      <c r="I42" s="35">
        <f t="shared" si="1"/>
        <v>0.054</v>
      </c>
      <c r="K42" s="35">
        <f t="shared" si="2"/>
        <v>0.09000000000000001</v>
      </c>
      <c r="M42" s="35">
        <f t="shared" si="3"/>
        <v>0.36000000000000004</v>
      </c>
      <c r="O42" s="35">
        <f t="shared" si="4"/>
        <v>0.4</v>
      </c>
      <c r="P42" s="16"/>
      <c r="Q42" s="49"/>
      <c r="S42" s="34">
        <f t="shared" si="14"/>
        <v>0.00031137716093141094</v>
      </c>
      <c r="U42" s="34">
        <f t="shared" si="15"/>
        <v>0.34500977593642923</v>
      </c>
      <c r="W42" s="34">
        <f t="shared" si="16"/>
        <v>0.1380039103745717</v>
      </c>
      <c r="Y42" s="34">
        <f t="shared" si="17"/>
        <v>0.6546788469026396</v>
      </c>
      <c r="AA42" s="9">
        <f t="shared" si="18"/>
        <v>1.0000000000000002</v>
      </c>
      <c r="AB42" s="16"/>
      <c r="AC42" s="49"/>
      <c r="AE42" s="36">
        <f t="shared" si="5"/>
        <v>4268.032285706339</v>
      </c>
      <c r="AG42" s="36">
        <f t="shared" si="6"/>
        <v>3979.9048685020407</v>
      </c>
      <c r="AI42" s="36">
        <f t="shared" si="7"/>
        <v>0</v>
      </c>
      <c r="AK42" s="36">
        <f t="shared" si="8"/>
        <v>0</v>
      </c>
      <c r="AL42" s="16"/>
      <c r="AN42" s="36">
        <f t="shared" si="9"/>
        <v>8247.937154208379</v>
      </c>
      <c r="AO42" s="16"/>
      <c r="AP42" s="49"/>
      <c r="AR42" s="45">
        <f t="shared" si="10"/>
        <v>0.00010262661401551603</v>
      </c>
      <c r="AT42" s="45">
        <f t="shared" si="11"/>
        <v>0.09239064873308309</v>
      </c>
      <c r="AV42" s="45">
        <f t="shared" si="12"/>
        <v>-0.005685578383574344</v>
      </c>
      <c r="AW42" s="16"/>
      <c r="AY42" s="45">
        <f t="shared" si="13"/>
        <v>0.08680769696352425</v>
      </c>
      <c r="AZ42" s="16"/>
    </row>
    <row r="43" spans="1:52" ht="15">
      <c r="A43" s="16"/>
      <c r="C43" s="4">
        <f t="shared" si="0"/>
        <v>71</v>
      </c>
      <c r="D43" s="4"/>
      <c r="E43" s="4">
        <v>31</v>
      </c>
      <c r="F43" s="16"/>
      <c r="G43" s="49"/>
      <c r="I43" s="35">
        <f t="shared" si="1"/>
        <v>0.0585</v>
      </c>
      <c r="K43" s="35">
        <f t="shared" si="2"/>
        <v>0.0945</v>
      </c>
      <c r="M43" s="35">
        <f t="shared" si="3"/>
        <v>0.369</v>
      </c>
      <c r="O43" s="35">
        <f t="shared" si="4"/>
        <v>0.4</v>
      </c>
      <c r="P43" s="16"/>
      <c r="Q43" s="49"/>
      <c r="S43" s="34">
        <f t="shared" si="14"/>
        <v>0.0001824670163058068</v>
      </c>
      <c r="U43" s="34">
        <f t="shared" si="15"/>
        <v>0.3140709918800859</v>
      </c>
      <c r="W43" s="34">
        <f t="shared" si="16"/>
        <v>0.12562839675203438</v>
      </c>
      <c r="Y43" s="34">
        <f t="shared" si="17"/>
        <v>0.6857465411036086</v>
      </c>
      <c r="AA43" s="9">
        <f t="shared" si="18"/>
        <v>1.0000000000000002</v>
      </c>
      <c r="AB43" s="16"/>
      <c r="AC43" s="49"/>
      <c r="AE43" s="36">
        <f t="shared" si="5"/>
        <v>3770.920316428824</v>
      </c>
      <c r="AG43" s="36">
        <f t="shared" si="6"/>
        <v>3517.4820637606335</v>
      </c>
      <c r="AI43" s="36">
        <f t="shared" si="7"/>
        <v>0</v>
      </c>
      <c r="AK43" s="36">
        <f t="shared" si="8"/>
        <v>0</v>
      </c>
      <c r="AL43" s="16"/>
      <c r="AN43" s="36">
        <f t="shared" si="9"/>
        <v>7288.402380189458</v>
      </c>
      <c r="AO43" s="16"/>
      <c r="AP43" s="49"/>
      <c r="AR43" s="45">
        <f t="shared" si="10"/>
        <v>5.838756875057513E-05</v>
      </c>
      <c r="AT43" s="45">
        <f t="shared" si="11"/>
        <v>0.0816558336230147</v>
      </c>
      <c r="AV43" s="45">
        <f t="shared" si="12"/>
        <v>-0.005024974376800905</v>
      </c>
      <c r="AW43" s="16"/>
      <c r="AY43" s="45">
        <f t="shared" si="13"/>
        <v>0.07668924681496438</v>
      </c>
      <c r="AZ43" s="16"/>
    </row>
    <row r="44" spans="1:52" ht="15">
      <c r="A44" s="16"/>
      <c r="C44" s="4">
        <f t="shared" si="0"/>
        <v>72</v>
      </c>
      <c r="D44" s="4"/>
      <c r="E44" s="4">
        <v>32</v>
      </c>
      <c r="F44" s="16"/>
      <c r="G44" s="49"/>
      <c r="I44" s="35">
        <f aca="true" t="shared" si="19" ref="I44:I75">HR_die_new_drug*VLOOKUP(age,prob_die_healthy,2)</f>
        <v>0.06300000000000001</v>
      </c>
      <c r="K44" s="35">
        <f aca="true" t="shared" si="20" ref="K44:K75">HR_disease_new_drug*VLOOKUP(age,prob_die_disease,2)</f>
        <v>0.099</v>
      </c>
      <c r="M44" s="35">
        <f aca="true" t="shared" si="21" ref="M44:M75">HR_disease_new_drug*VLOOKUP(age,prob_disease,2)</f>
        <v>0.378</v>
      </c>
      <c r="O44" s="35">
        <f aca="true" t="shared" si="22" ref="O44:O75">HR_hosp_new_drug*VLOOKUP(age,prob_hosp_disease,2)</f>
        <v>0.4</v>
      </c>
      <c r="P44" s="16"/>
      <c r="Q44" s="49"/>
      <c r="S44" s="34">
        <f t="shared" si="14"/>
        <v>0.00010446236683507439</v>
      </c>
      <c r="U44" s="34">
        <f t="shared" si="15"/>
        <v>0.28445861347643464</v>
      </c>
      <c r="W44" s="34">
        <f t="shared" si="16"/>
        <v>0.11378344539057386</v>
      </c>
      <c r="Y44" s="34">
        <f t="shared" si="17"/>
        <v>0.7154369241567305</v>
      </c>
      <c r="AA44" s="9">
        <f t="shared" si="18"/>
        <v>1.0000000000000002</v>
      </c>
      <c r="AB44" s="16"/>
      <c r="AC44" s="49"/>
      <c r="AE44" s="36">
        <f aca="true" t="shared" si="23" ref="AE44:AE75">(S44*Cost_new_drug+U44*Cost_new_drug)/(1+Discount_Rate)^cycle</f>
        <v>3315.1914269360336</v>
      </c>
      <c r="AG44" s="36">
        <f t="shared" si="6"/>
        <v>3093.0428001802597</v>
      </c>
      <c r="AI44" s="36">
        <f t="shared" si="7"/>
        <v>0</v>
      </c>
      <c r="AK44" s="36">
        <f t="shared" si="8"/>
        <v>0</v>
      </c>
      <c r="AL44" s="16"/>
      <c r="AN44" s="36">
        <f aca="true" t="shared" si="24" ref="AN44:AN75">AE44+AG44+AI44+AK44</f>
        <v>6408.234227116293</v>
      </c>
      <c r="AO44" s="16"/>
      <c r="AP44" s="49"/>
      <c r="AR44" s="45">
        <f aca="true" t="shared" si="25" ref="AR44:AR75">S44*Utility_healthy/(1+Discount_Rate)^cycle</f>
        <v>3.245328457252842E-05</v>
      </c>
      <c r="AT44" s="45">
        <f aca="true" t="shared" si="26" ref="AT44:AT75">U44*Utility_disease/(1+Discount_Rate)^cycle</f>
        <v>0.0718027792898989</v>
      </c>
      <c r="AV44" s="45">
        <f aca="true" t="shared" si="27" ref="AV44:AV75">W44*-Utility_decrement_hospitalization/(1+Discount_Rate)^cycle</f>
        <v>-0.004418632571686086</v>
      </c>
      <c r="AW44" s="16"/>
      <c r="AY44" s="45">
        <f t="shared" si="13"/>
        <v>0.06741660000278535</v>
      </c>
      <c r="AZ44" s="16"/>
    </row>
    <row r="45" spans="1:52" ht="15">
      <c r="A45" s="16"/>
      <c r="C45" s="4">
        <f t="shared" si="0"/>
        <v>73</v>
      </c>
      <c r="D45" s="4"/>
      <c r="E45" s="4">
        <v>33</v>
      </c>
      <c r="F45" s="16"/>
      <c r="G45" s="49"/>
      <c r="I45" s="35">
        <f t="shared" si="19"/>
        <v>0.0675</v>
      </c>
      <c r="K45" s="35">
        <f t="shared" si="20"/>
        <v>0.10350000000000001</v>
      </c>
      <c r="M45" s="35">
        <f t="shared" si="21"/>
        <v>0.387</v>
      </c>
      <c r="O45" s="35">
        <f t="shared" si="22"/>
        <v>0.4</v>
      </c>
      <c r="P45" s="16"/>
      <c r="Q45" s="49"/>
      <c r="S45" s="34">
        <f t="shared" si="14"/>
        <v>5.839446306080659E-05</v>
      </c>
      <c r="U45" s="34">
        <f t="shared" si="15"/>
        <v>0.2563366975169313</v>
      </c>
      <c r="W45" s="34">
        <f t="shared" si="16"/>
        <v>0.10253467900677252</v>
      </c>
      <c r="Y45" s="34">
        <f t="shared" si="17"/>
        <v>0.7436049080200081</v>
      </c>
      <c r="AA45" s="9">
        <f t="shared" si="18"/>
        <v>1.0000000000000002</v>
      </c>
      <c r="AB45" s="16"/>
      <c r="AC45" s="49"/>
      <c r="AE45" s="36">
        <f t="shared" si="23"/>
        <v>2900.030376314116</v>
      </c>
      <c r="AG45" s="36">
        <f t="shared" si="6"/>
        <v>2706.078563026513</v>
      </c>
      <c r="AI45" s="36">
        <f t="shared" si="7"/>
        <v>0</v>
      </c>
      <c r="AK45" s="36">
        <f t="shared" si="8"/>
        <v>0</v>
      </c>
      <c r="AL45" s="16"/>
      <c r="AN45" s="36">
        <f t="shared" si="24"/>
        <v>5606.108939340629</v>
      </c>
      <c r="AO45" s="16"/>
      <c r="AP45" s="49"/>
      <c r="AR45" s="45">
        <f t="shared" si="25"/>
        <v>1.7612996190333383E-05</v>
      </c>
      <c r="AT45" s="45">
        <f t="shared" si="26"/>
        <v>0.0628196809274012</v>
      </c>
      <c r="AV45" s="45">
        <f t="shared" si="27"/>
        <v>-0.003865826518609305</v>
      </c>
      <c r="AW45" s="16"/>
      <c r="AY45" s="45">
        <f t="shared" si="13"/>
        <v>0.058971467404982235</v>
      </c>
      <c r="AZ45" s="16"/>
    </row>
    <row r="46" spans="1:52" ht="15">
      <c r="A46" s="16"/>
      <c r="C46" s="4">
        <f t="shared" si="0"/>
        <v>74</v>
      </c>
      <c r="D46" s="4"/>
      <c r="E46" s="4">
        <v>34</v>
      </c>
      <c r="F46" s="16"/>
      <c r="G46" s="49"/>
      <c r="I46" s="35">
        <f t="shared" si="19"/>
        <v>0.07200000000000001</v>
      </c>
      <c r="K46" s="35">
        <f t="shared" si="20"/>
        <v>0.108</v>
      </c>
      <c r="M46" s="35">
        <f t="shared" si="21"/>
        <v>0.396</v>
      </c>
      <c r="O46" s="35">
        <f t="shared" si="22"/>
        <v>0.4</v>
      </c>
      <c r="P46" s="16"/>
      <c r="Q46" s="49"/>
      <c r="S46" s="34">
        <f t="shared" si="14"/>
        <v>3.185417959966999E-05</v>
      </c>
      <c r="U46" s="34">
        <f t="shared" si="15"/>
        <v>0.22982844798113344</v>
      </c>
      <c r="W46" s="34">
        <f t="shared" si="16"/>
        <v>0.09193137919245338</v>
      </c>
      <c r="Y46" s="34">
        <f t="shared" si="17"/>
        <v>0.7701396978392672</v>
      </c>
      <c r="AA46" s="9">
        <f t="shared" si="18"/>
        <v>1.0000000000000002</v>
      </c>
      <c r="AB46" s="16"/>
      <c r="AC46" s="49"/>
      <c r="AE46" s="36">
        <f t="shared" si="23"/>
        <v>2524.175737777148</v>
      </c>
      <c r="AG46" s="36">
        <f t="shared" si="6"/>
        <v>2355.570873579289</v>
      </c>
      <c r="AI46" s="36">
        <f t="shared" si="7"/>
        <v>0</v>
      </c>
      <c r="AK46" s="36">
        <f t="shared" si="8"/>
        <v>0</v>
      </c>
      <c r="AL46" s="16"/>
      <c r="AN46" s="36">
        <f t="shared" si="24"/>
        <v>4879.746611356437</v>
      </c>
      <c r="AO46" s="16"/>
      <c r="AP46" s="49"/>
      <c r="AR46" s="45">
        <f t="shared" si="25"/>
        <v>9.328047982356177E-06</v>
      </c>
      <c r="AT46" s="45">
        <f t="shared" si="26"/>
        <v>0.054682895279519216</v>
      </c>
      <c r="AV46" s="45">
        <f t="shared" si="27"/>
        <v>-0.003365101247970413</v>
      </c>
      <c r="AW46" s="16"/>
      <c r="AY46" s="45">
        <f t="shared" si="13"/>
        <v>0.05132712207953116</v>
      </c>
      <c r="AZ46" s="16"/>
    </row>
    <row r="47" spans="1:52" ht="15">
      <c r="A47" s="16"/>
      <c r="C47" s="4">
        <f t="shared" si="0"/>
        <v>75</v>
      </c>
      <c r="D47" s="4"/>
      <c r="E47" s="4">
        <v>35</v>
      </c>
      <c r="F47" s="16"/>
      <c r="G47" s="49"/>
      <c r="I47" s="35">
        <f t="shared" si="19"/>
        <v>0.07650000000000001</v>
      </c>
      <c r="K47" s="35">
        <f t="shared" si="20"/>
        <v>0.1125</v>
      </c>
      <c r="M47" s="35">
        <f t="shared" si="21"/>
        <v>0.405</v>
      </c>
      <c r="O47" s="35">
        <f t="shared" si="22"/>
        <v>0.4</v>
      </c>
      <c r="P47" s="16"/>
      <c r="Q47" s="49"/>
      <c r="S47" s="34">
        <f t="shared" si="14"/>
        <v>1.6946423547024435E-05</v>
      </c>
      <c r="U47" s="34">
        <f t="shared" si="15"/>
        <v>0.2050195898542925</v>
      </c>
      <c r="W47" s="34">
        <f t="shared" si="16"/>
        <v>0.08200783594171701</v>
      </c>
      <c r="Y47" s="34">
        <f t="shared" si="17"/>
        <v>0.7949634637221608</v>
      </c>
      <c r="AA47" s="9">
        <f t="shared" si="18"/>
        <v>1.0000000000000002</v>
      </c>
      <c r="AB47" s="16"/>
      <c r="AC47" s="49"/>
      <c r="AE47" s="36">
        <f t="shared" si="23"/>
        <v>2185.9974281184386</v>
      </c>
      <c r="AG47" s="36">
        <f t="shared" si="6"/>
        <v>2040.095636871613</v>
      </c>
      <c r="AI47" s="36">
        <f t="shared" si="7"/>
        <v>0</v>
      </c>
      <c r="AK47" s="36">
        <f t="shared" si="8"/>
        <v>0</v>
      </c>
      <c r="AL47" s="16"/>
      <c r="AN47" s="36">
        <f t="shared" si="24"/>
        <v>4226.093064990051</v>
      </c>
      <c r="AO47" s="16"/>
      <c r="AP47" s="49"/>
      <c r="AR47" s="45">
        <f t="shared" si="25"/>
        <v>4.817982064673286E-06</v>
      </c>
      <c r="AT47" s="45">
        <f t="shared" si="26"/>
        <v>0.04735936299880529</v>
      </c>
      <c r="AV47" s="45">
        <f t="shared" si="27"/>
        <v>-0.0029144223383880184</v>
      </c>
      <c r="AW47" s="16"/>
      <c r="AY47" s="45">
        <f t="shared" si="13"/>
        <v>0.04444975864248194</v>
      </c>
      <c r="AZ47" s="16"/>
    </row>
    <row r="48" spans="1:52" ht="15">
      <c r="A48" s="16"/>
      <c r="C48" s="4">
        <f t="shared" si="0"/>
        <v>76</v>
      </c>
      <c r="D48" s="4"/>
      <c r="E48" s="4">
        <v>36</v>
      </c>
      <c r="F48" s="16"/>
      <c r="G48" s="49"/>
      <c r="I48" s="35">
        <f t="shared" si="19"/>
        <v>0.081</v>
      </c>
      <c r="K48" s="35">
        <f t="shared" si="20"/>
        <v>0.117</v>
      </c>
      <c r="M48" s="35">
        <f t="shared" si="21"/>
        <v>0.41400000000000003</v>
      </c>
      <c r="O48" s="35">
        <f t="shared" si="22"/>
        <v>0.4</v>
      </c>
      <c r="P48" s="16"/>
      <c r="Q48" s="49"/>
      <c r="S48" s="34">
        <f t="shared" si="14"/>
        <v>8.786720609132168E-06</v>
      </c>
      <c r="U48" s="34">
        <f t="shared" si="15"/>
        <v>0.18196174929722114</v>
      </c>
      <c r="W48" s="34">
        <f t="shared" si="16"/>
        <v>0.07278469971888846</v>
      </c>
      <c r="Y48" s="34">
        <f t="shared" si="17"/>
        <v>0.81802946398217</v>
      </c>
      <c r="AA48" s="9">
        <f t="shared" si="18"/>
        <v>1.0000000000000002</v>
      </c>
      <c r="AB48" s="16"/>
      <c r="AC48" s="49"/>
      <c r="AE48" s="36">
        <f t="shared" si="23"/>
        <v>1883.5720599329143</v>
      </c>
      <c r="AG48" s="36">
        <f t="shared" si="6"/>
        <v>1757.9157015721582</v>
      </c>
      <c r="AI48" s="36">
        <f t="shared" si="7"/>
        <v>0</v>
      </c>
      <c r="AK48" s="36">
        <f t="shared" si="8"/>
        <v>0</v>
      </c>
      <c r="AL48" s="16"/>
      <c r="AN48" s="36">
        <f t="shared" si="24"/>
        <v>3641.4877615050727</v>
      </c>
      <c r="AO48" s="16"/>
      <c r="AP48" s="49"/>
      <c r="AR48" s="45">
        <f t="shared" si="25"/>
        <v>2.425362816051552E-06</v>
      </c>
      <c r="AT48" s="45">
        <f t="shared" si="26"/>
        <v>0.0408087573579251</v>
      </c>
      <c r="AV48" s="45">
        <f t="shared" si="27"/>
        <v>-0.0025113081451030835</v>
      </c>
      <c r="AW48" s="16"/>
      <c r="AY48" s="45">
        <f t="shared" si="13"/>
        <v>0.03829987457563806</v>
      </c>
      <c r="AZ48" s="16"/>
    </row>
    <row r="49" spans="1:52" ht="15">
      <c r="A49" s="16"/>
      <c r="C49" s="4">
        <f t="shared" si="0"/>
        <v>77</v>
      </c>
      <c r="D49" s="4"/>
      <c r="E49" s="4">
        <v>37</v>
      </c>
      <c r="F49" s="16"/>
      <c r="G49" s="49"/>
      <c r="I49" s="35">
        <f t="shared" si="19"/>
        <v>0.0855</v>
      </c>
      <c r="K49" s="35">
        <f t="shared" si="20"/>
        <v>0.12150000000000001</v>
      </c>
      <c r="M49" s="35">
        <f t="shared" si="21"/>
        <v>0.423</v>
      </c>
      <c r="O49" s="35">
        <f t="shared" si="22"/>
        <v>0.4</v>
      </c>
      <c r="P49" s="16"/>
      <c r="Q49" s="49"/>
      <c r="S49" s="34">
        <f t="shared" si="14"/>
        <v>4.437293907611745E-06</v>
      </c>
      <c r="U49" s="34">
        <f t="shared" si="15"/>
        <v>0.16067586233177847</v>
      </c>
      <c r="W49" s="34">
        <f t="shared" si="16"/>
        <v>0.06427034493271139</v>
      </c>
      <c r="Y49" s="34">
        <f t="shared" si="17"/>
        <v>0.8393197003743142</v>
      </c>
      <c r="AA49" s="9">
        <f t="shared" si="18"/>
        <v>1.0000000000000004</v>
      </c>
      <c r="AB49" s="16"/>
      <c r="AC49" s="49"/>
      <c r="AE49" s="36">
        <f t="shared" si="23"/>
        <v>1614.7547603500636</v>
      </c>
      <c r="AG49" s="36">
        <f t="shared" si="6"/>
        <v>1507.0628232965248</v>
      </c>
      <c r="AI49" s="36">
        <f t="shared" si="7"/>
        <v>0</v>
      </c>
      <c r="AK49" s="36">
        <f t="shared" si="8"/>
        <v>0</v>
      </c>
      <c r="AL49" s="16"/>
      <c r="AN49" s="36">
        <f t="shared" si="24"/>
        <v>3121.8175836465884</v>
      </c>
      <c r="AO49" s="16"/>
      <c r="AP49" s="49"/>
      <c r="AR49" s="45">
        <f t="shared" si="25"/>
        <v>1.1891341962194503E-06</v>
      </c>
      <c r="AT49" s="45">
        <f t="shared" si="26"/>
        <v>0.034985386969383615</v>
      </c>
      <c r="AV49" s="45">
        <f t="shared" si="27"/>
        <v>-0.0021529468904236074</v>
      </c>
      <c r="AW49" s="16"/>
      <c r="AY49" s="45">
        <f t="shared" si="13"/>
        <v>0.03283362921315623</v>
      </c>
      <c r="AZ49" s="16"/>
    </row>
    <row r="50" spans="1:52" ht="15">
      <c r="A50" s="16"/>
      <c r="C50" s="4">
        <f t="shared" si="0"/>
        <v>78</v>
      </c>
      <c r="D50" s="4"/>
      <c r="E50" s="4">
        <v>38</v>
      </c>
      <c r="F50" s="16"/>
      <c r="G50" s="49"/>
      <c r="I50" s="35">
        <f t="shared" si="19"/>
        <v>0.09000000000000001</v>
      </c>
      <c r="K50" s="35">
        <f t="shared" si="20"/>
        <v>0.12600000000000003</v>
      </c>
      <c r="M50" s="35">
        <f t="shared" si="21"/>
        <v>0.432</v>
      </c>
      <c r="O50" s="35">
        <f t="shared" si="22"/>
        <v>0.4</v>
      </c>
      <c r="P50" s="16"/>
      <c r="Q50" s="49"/>
      <c r="S50" s="34">
        <f t="shared" si="14"/>
        <v>2.1809299555911728E-06</v>
      </c>
      <c r="U50" s="34">
        <f t="shared" si="15"/>
        <v>0.1411556220337903</v>
      </c>
      <c r="W50" s="34">
        <f t="shared" si="16"/>
        <v>0.05646224881351613</v>
      </c>
      <c r="Y50" s="34">
        <f t="shared" si="17"/>
        <v>0.8588421970362544</v>
      </c>
      <c r="AA50" s="9">
        <f t="shared" si="18"/>
        <v>1.0000000000000004</v>
      </c>
      <c r="AB50" s="16"/>
      <c r="AC50" s="49"/>
      <c r="AE50" s="36">
        <f t="shared" si="23"/>
        <v>1377.2462740764038</v>
      </c>
      <c r="AG50" s="36">
        <f t="shared" si="6"/>
        <v>1285.409995531818</v>
      </c>
      <c r="AI50" s="36">
        <f t="shared" si="7"/>
        <v>0</v>
      </c>
      <c r="AK50" s="36">
        <f t="shared" si="8"/>
        <v>0</v>
      </c>
      <c r="AL50" s="16"/>
      <c r="AN50" s="36">
        <f t="shared" si="24"/>
        <v>2662.656269608222</v>
      </c>
      <c r="AO50" s="16"/>
      <c r="AP50" s="49"/>
      <c r="AR50" s="45">
        <f t="shared" si="25"/>
        <v>5.674363664484078E-07</v>
      </c>
      <c r="AT50" s="45">
        <f t="shared" si="26"/>
        <v>0.029839874896274342</v>
      </c>
      <c r="AV50" s="45">
        <f t="shared" si="27"/>
        <v>-0.0018362999936168828</v>
      </c>
      <c r="AW50" s="16"/>
      <c r="AY50" s="45">
        <f t="shared" si="13"/>
        <v>0.02800414233902391</v>
      </c>
      <c r="AZ50" s="16"/>
    </row>
    <row r="51" spans="1:52" ht="15">
      <c r="A51" s="16"/>
      <c r="C51" s="4">
        <f t="shared" si="0"/>
        <v>79</v>
      </c>
      <c r="D51" s="4"/>
      <c r="E51" s="4">
        <v>39</v>
      </c>
      <c r="F51" s="16"/>
      <c r="G51" s="49"/>
      <c r="I51" s="35">
        <f t="shared" si="19"/>
        <v>0.0945</v>
      </c>
      <c r="K51" s="35">
        <f t="shared" si="20"/>
        <v>0.1305</v>
      </c>
      <c r="M51" s="35">
        <f t="shared" si="21"/>
        <v>0.441</v>
      </c>
      <c r="O51" s="35">
        <f t="shared" si="22"/>
        <v>0.4</v>
      </c>
      <c r="P51" s="16"/>
      <c r="Q51" s="49"/>
      <c r="S51" s="34">
        <f t="shared" si="14"/>
        <v>1.0424845187725806E-06</v>
      </c>
      <c r="U51" s="34">
        <f t="shared" si="15"/>
        <v>0.12337095581927354</v>
      </c>
      <c r="W51" s="34">
        <f t="shared" si="16"/>
        <v>0.04934838232770942</v>
      </c>
      <c r="Y51" s="34">
        <f t="shared" si="17"/>
        <v>0.8766280016962079</v>
      </c>
      <c r="AA51" s="9">
        <f t="shared" si="18"/>
        <v>1.0000000000000002</v>
      </c>
      <c r="AB51" s="16"/>
      <c r="AC51" s="49"/>
      <c r="AE51" s="36">
        <f t="shared" si="23"/>
        <v>1168.6543782348265</v>
      </c>
      <c r="AG51" s="36">
        <f t="shared" si="6"/>
        <v>1090.734869643368</v>
      </c>
      <c r="AI51" s="36">
        <f t="shared" si="7"/>
        <v>0</v>
      </c>
      <c r="AK51" s="36">
        <f t="shared" si="8"/>
        <v>0</v>
      </c>
      <c r="AL51" s="16"/>
      <c r="AN51" s="36">
        <f t="shared" si="24"/>
        <v>2259.3892478781945</v>
      </c>
      <c r="AO51" s="16"/>
      <c r="AP51" s="49"/>
      <c r="AR51" s="45">
        <f t="shared" si="25"/>
        <v>2.633345467595523E-07</v>
      </c>
      <c r="AT51" s="45">
        <f t="shared" si="26"/>
        <v>0.025320630902435335</v>
      </c>
      <c r="AV51" s="45">
        <f t="shared" si="27"/>
        <v>-0.0015581926709190973</v>
      </c>
      <c r="AW51" s="16"/>
      <c r="AY51" s="45">
        <f t="shared" si="13"/>
        <v>0.023762701566062996</v>
      </c>
      <c r="AZ51" s="16"/>
    </row>
    <row r="52" spans="1:52" ht="15">
      <c r="A52" s="16"/>
      <c r="C52" s="4">
        <f t="shared" si="0"/>
        <v>80</v>
      </c>
      <c r="D52" s="4"/>
      <c r="E52" s="4">
        <v>40</v>
      </c>
      <c r="F52" s="16"/>
      <c r="G52" s="49"/>
      <c r="I52" s="35">
        <f t="shared" si="19"/>
        <v>0.099</v>
      </c>
      <c r="K52" s="35">
        <f t="shared" si="20"/>
        <v>0.135</v>
      </c>
      <c r="M52" s="35">
        <f t="shared" si="21"/>
        <v>0.45</v>
      </c>
      <c r="O52" s="35">
        <f t="shared" si="22"/>
        <v>0.45</v>
      </c>
      <c r="P52" s="16"/>
      <c r="Q52" s="49"/>
      <c r="S52" s="34">
        <f t="shared" si="14"/>
        <v>4.842340589698637E-07</v>
      </c>
      <c r="U52" s="34">
        <f t="shared" si="15"/>
        <v>0.10727150582053113</v>
      </c>
      <c r="W52" s="34">
        <f t="shared" si="16"/>
        <v>0.048272177619239014</v>
      </c>
      <c r="Y52" s="34">
        <f t="shared" si="17"/>
        <v>0.8927280099454101</v>
      </c>
      <c r="AA52" s="9">
        <f t="shared" si="18"/>
        <v>1.0000000000000002</v>
      </c>
      <c r="AB52" s="16"/>
      <c r="AC52" s="49"/>
      <c r="AE52" s="36">
        <f t="shared" si="23"/>
        <v>986.5488712396311</v>
      </c>
      <c r="AG52" s="36">
        <f t="shared" si="6"/>
        <v>1035.8716387758184</v>
      </c>
      <c r="AI52" s="36">
        <f t="shared" si="7"/>
        <v>0</v>
      </c>
      <c r="AK52" s="36">
        <f t="shared" si="8"/>
        <v>0</v>
      </c>
      <c r="AL52" s="16"/>
      <c r="AN52" s="36">
        <f t="shared" si="24"/>
        <v>2022.4205100154495</v>
      </c>
      <c r="AO52" s="16"/>
      <c r="AP52" s="49"/>
      <c r="AR52" s="45">
        <f t="shared" si="25"/>
        <v>1.1875621065030296E-07</v>
      </c>
      <c r="AT52" s="45">
        <f t="shared" si="26"/>
        <v>0.02137512905410419</v>
      </c>
      <c r="AV52" s="45">
        <f t="shared" si="27"/>
        <v>-0.0014798166268225979</v>
      </c>
      <c r="AW52" s="16"/>
      <c r="AY52" s="45">
        <f t="shared" si="13"/>
        <v>0.01989543118349224</v>
      </c>
      <c r="AZ52" s="16"/>
    </row>
    <row r="53" spans="1:52" ht="15">
      <c r="A53" s="16"/>
      <c r="C53" s="4">
        <f t="shared" si="0"/>
        <v>81</v>
      </c>
      <c r="D53" s="4"/>
      <c r="E53" s="4">
        <v>41</v>
      </c>
      <c r="F53" s="16"/>
      <c r="G53" s="49"/>
      <c r="I53" s="35">
        <f t="shared" si="19"/>
        <v>0.10350000000000001</v>
      </c>
      <c r="K53" s="35">
        <f t="shared" si="20"/>
        <v>0.1395</v>
      </c>
      <c r="M53" s="35">
        <f t="shared" si="21"/>
        <v>0.459</v>
      </c>
      <c r="O53" s="35">
        <f t="shared" si="22"/>
        <v>0.45</v>
      </c>
      <c r="P53" s="16"/>
      <c r="Q53" s="49"/>
      <c r="S53" s="34">
        <f t="shared" si="14"/>
        <v>2.183895605954085E-07</v>
      </c>
      <c r="U53" s="34">
        <f t="shared" si="15"/>
        <v>0.09279007044008596</v>
      </c>
      <c r="W53" s="34">
        <f t="shared" si="16"/>
        <v>0.04175553169803868</v>
      </c>
      <c r="Y53" s="34">
        <f t="shared" si="17"/>
        <v>0.9072097111703536</v>
      </c>
      <c r="AA53" s="9">
        <f t="shared" si="18"/>
        <v>1.0000000000000002</v>
      </c>
      <c r="AB53" s="16"/>
      <c r="AC53" s="49"/>
      <c r="AE53" s="36">
        <f t="shared" si="23"/>
        <v>828.5096446050148</v>
      </c>
      <c r="AG53" s="36">
        <f t="shared" si="6"/>
        <v>869.933079371544</v>
      </c>
      <c r="AI53" s="36">
        <f t="shared" si="7"/>
        <v>0</v>
      </c>
      <c r="AK53" s="36">
        <f t="shared" si="8"/>
        <v>0</v>
      </c>
      <c r="AL53" s="16"/>
      <c r="AN53" s="36">
        <f t="shared" si="24"/>
        <v>1698.4427239765587</v>
      </c>
      <c r="AO53" s="16"/>
      <c r="AP53" s="49"/>
      <c r="AR53" s="45">
        <f t="shared" si="25"/>
        <v>5.1999078643967604E-08</v>
      </c>
      <c r="AT53" s="45">
        <f t="shared" si="26"/>
        <v>0.017951000050523924</v>
      </c>
      <c r="AV53" s="45">
        <f t="shared" si="27"/>
        <v>-0.0012427615419593485</v>
      </c>
      <c r="AW53" s="16"/>
      <c r="AY53" s="45">
        <f t="shared" si="13"/>
        <v>0.01670829050764322</v>
      </c>
      <c r="AZ53" s="16"/>
    </row>
    <row r="54" spans="1:52" ht="15">
      <c r="A54" s="16"/>
      <c r="C54" s="4">
        <f t="shared" si="0"/>
        <v>82</v>
      </c>
      <c r="D54" s="4"/>
      <c r="E54" s="4">
        <v>42</v>
      </c>
      <c r="F54" s="16"/>
      <c r="G54" s="49"/>
      <c r="I54" s="35">
        <f t="shared" si="19"/>
        <v>0.108</v>
      </c>
      <c r="K54" s="35">
        <f t="shared" si="20"/>
        <v>0.14400000000000002</v>
      </c>
      <c r="M54" s="35">
        <f t="shared" si="21"/>
        <v>0.468</v>
      </c>
      <c r="O54" s="35">
        <f t="shared" si="22"/>
        <v>0.45</v>
      </c>
      <c r="P54" s="16"/>
      <c r="Q54" s="49"/>
      <c r="S54" s="34">
        <f t="shared" si="14"/>
        <v>9.554543276049123E-08</v>
      </c>
      <c r="U54" s="34">
        <f t="shared" si="15"/>
        <v>0.07984595585450227</v>
      </c>
      <c r="W54" s="34">
        <f t="shared" si="16"/>
        <v>0.03593068013452602</v>
      </c>
      <c r="Y54" s="34">
        <f t="shared" si="17"/>
        <v>0.9201539486000652</v>
      </c>
      <c r="AA54" s="9">
        <f t="shared" si="18"/>
        <v>1.0000000000000002</v>
      </c>
      <c r="AB54" s="16"/>
      <c r="AC54" s="49"/>
      <c r="AE54" s="36">
        <f t="shared" si="23"/>
        <v>692.1675916323993</v>
      </c>
      <c r="AG54" s="36">
        <f t="shared" si="6"/>
        <v>726.7751015388948</v>
      </c>
      <c r="AI54" s="36">
        <f t="shared" si="7"/>
        <v>0</v>
      </c>
      <c r="AK54" s="36">
        <f t="shared" si="8"/>
        <v>0</v>
      </c>
      <c r="AL54" s="16"/>
      <c r="AN54" s="36">
        <f t="shared" si="24"/>
        <v>1418.9426931712942</v>
      </c>
      <c r="AO54" s="16"/>
      <c r="AP54" s="49"/>
      <c r="AR54" s="45">
        <f t="shared" si="25"/>
        <v>2.2086987288093035E-08</v>
      </c>
      <c r="AT54" s="45">
        <f t="shared" si="26"/>
        <v>0.014996946539691478</v>
      </c>
      <c r="AV54" s="45">
        <f t="shared" si="27"/>
        <v>-0.001038250145055564</v>
      </c>
      <c r="AW54" s="16"/>
      <c r="AY54" s="45">
        <f t="shared" si="13"/>
        <v>0.013958718481623202</v>
      </c>
      <c r="AZ54" s="16"/>
    </row>
    <row r="55" spans="1:52" ht="15">
      <c r="A55" s="16"/>
      <c r="C55" s="4">
        <f t="shared" si="0"/>
        <v>83</v>
      </c>
      <c r="D55" s="4"/>
      <c r="E55" s="4">
        <v>43</v>
      </c>
      <c r="F55" s="16"/>
      <c r="G55" s="49"/>
      <c r="I55" s="35">
        <f t="shared" si="19"/>
        <v>0.1125</v>
      </c>
      <c r="K55" s="35">
        <f t="shared" si="20"/>
        <v>0.14850000000000002</v>
      </c>
      <c r="M55" s="35">
        <f t="shared" si="21"/>
        <v>0.47700000000000004</v>
      </c>
      <c r="O55" s="35">
        <f t="shared" si="22"/>
        <v>0.45</v>
      </c>
      <c r="P55" s="16"/>
      <c r="Q55" s="49"/>
      <c r="S55" s="34">
        <f t="shared" si="14"/>
        <v>4.0511263490448275E-08</v>
      </c>
      <c r="U55" s="34">
        <f t="shared" si="15"/>
        <v>0.06834818292671647</v>
      </c>
      <c r="W55" s="34">
        <f t="shared" si="16"/>
        <v>0.030756682317022416</v>
      </c>
      <c r="Y55" s="34">
        <f t="shared" si="17"/>
        <v>0.9316517765620203</v>
      </c>
      <c r="AA55" s="9">
        <f t="shared" si="18"/>
        <v>1.0000000000000002</v>
      </c>
      <c r="AB55" s="16"/>
      <c r="AC55" s="49"/>
      <c r="AE55" s="36">
        <f t="shared" si="23"/>
        <v>575.238338111424</v>
      </c>
      <c r="AG55" s="36">
        <f t="shared" si="6"/>
        <v>603.9998970148079</v>
      </c>
      <c r="AI55" s="36">
        <f t="shared" si="7"/>
        <v>0</v>
      </c>
      <c r="AK55" s="36">
        <f t="shared" si="8"/>
        <v>0</v>
      </c>
      <c r="AL55" s="16"/>
      <c r="AN55" s="36">
        <f t="shared" si="24"/>
        <v>1179.2382351262318</v>
      </c>
      <c r="AO55" s="16"/>
      <c r="AP55" s="49"/>
      <c r="AR55" s="45">
        <f t="shared" si="25"/>
        <v>9.092119038981988E-09</v>
      </c>
      <c r="AT55" s="45">
        <f t="shared" si="26"/>
        <v>0.0124634899384008</v>
      </c>
      <c r="AV55" s="45">
        <f t="shared" si="27"/>
        <v>-0.00086285699573544</v>
      </c>
      <c r="AW55" s="16"/>
      <c r="AY55" s="45">
        <f t="shared" si="13"/>
        <v>0.011600642034784397</v>
      </c>
      <c r="AZ55" s="16"/>
    </row>
    <row r="56" spans="1:52" ht="15">
      <c r="A56" s="16"/>
      <c r="C56" s="4">
        <f t="shared" si="0"/>
        <v>84</v>
      </c>
      <c r="D56" s="4"/>
      <c r="E56" s="4">
        <v>44</v>
      </c>
      <c r="F56" s="16"/>
      <c r="G56" s="49"/>
      <c r="I56" s="35">
        <f t="shared" si="19"/>
        <v>0.117</v>
      </c>
      <c r="K56" s="35">
        <f t="shared" si="20"/>
        <v>0.15300000000000002</v>
      </c>
      <c r="M56" s="35">
        <f t="shared" si="21"/>
        <v>0.48600000000000004</v>
      </c>
      <c r="O56" s="35">
        <f t="shared" si="22"/>
        <v>0.45</v>
      </c>
      <c r="P56" s="16"/>
      <c r="Q56" s="49"/>
      <c r="S56" s="34">
        <f t="shared" si="14"/>
        <v>1.6629873662829016E-08</v>
      </c>
      <c r="U56" s="34">
        <f t="shared" si="15"/>
        <v>0.05819849708597176</v>
      </c>
      <c r="W56" s="34">
        <f t="shared" si="16"/>
        <v>0.02618932368868729</v>
      </c>
      <c r="Y56" s="34">
        <f t="shared" si="17"/>
        <v>0.9418014862841548</v>
      </c>
      <c r="AA56" s="9">
        <f t="shared" si="18"/>
        <v>1.0000000000000002</v>
      </c>
      <c r="AB56" s="16"/>
      <c r="AC56" s="49"/>
      <c r="AE56" s="36">
        <f t="shared" si="23"/>
        <v>475.54898754974573</v>
      </c>
      <c r="AG56" s="36">
        <f t="shared" si="6"/>
        <v>499.3262942477206</v>
      </c>
      <c r="AI56" s="36">
        <f t="shared" si="7"/>
        <v>0</v>
      </c>
      <c r="AK56" s="36">
        <f t="shared" si="8"/>
        <v>0</v>
      </c>
      <c r="AL56" s="16"/>
      <c r="AN56" s="36">
        <f t="shared" si="24"/>
        <v>974.8752817974664</v>
      </c>
      <c r="AO56" s="16"/>
      <c r="AP56" s="49"/>
      <c r="AR56" s="45">
        <f t="shared" si="25"/>
        <v>3.623606665536025E-09</v>
      </c>
      <c r="AT56" s="45">
        <f t="shared" si="26"/>
        <v>0.010303558452730744</v>
      </c>
      <c r="AV56" s="45">
        <f t="shared" si="27"/>
        <v>-0.0007133232774967439</v>
      </c>
      <c r="AW56" s="16"/>
      <c r="AY56" s="45">
        <f t="shared" si="13"/>
        <v>0.009590238798840665</v>
      </c>
      <c r="AZ56" s="16"/>
    </row>
    <row r="57" spans="1:52" ht="15">
      <c r="A57" s="16"/>
      <c r="C57" s="4">
        <f t="shared" si="0"/>
        <v>85</v>
      </c>
      <c r="D57" s="4"/>
      <c r="E57" s="4">
        <v>45</v>
      </c>
      <c r="F57" s="16"/>
      <c r="G57" s="49"/>
      <c r="I57" s="35">
        <f t="shared" si="19"/>
        <v>0.12150000000000001</v>
      </c>
      <c r="K57" s="35">
        <f t="shared" si="20"/>
        <v>0.1575</v>
      </c>
      <c r="M57" s="35">
        <f t="shared" si="21"/>
        <v>0.49500000000000005</v>
      </c>
      <c r="O57" s="35">
        <f t="shared" si="22"/>
        <v>0.45</v>
      </c>
      <c r="P57" s="16"/>
      <c r="Q57" s="49"/>
      <c r="S57" s="34">
        <f t="shared" si="14"/>
        <v>6.602059844143118E-09</v>
      </c>
      <c r="U57" s="34">
        <f t="shared" si="15"/>
        <v>0.04929413511393668</v>
      </c>
      <c r="W57" s="34">
        <f t="shared" si="16"/>
        <v>0.02218236080127151</v>
      </c>
      <c r="Y57" s="34">
        <f t="shared" si="17"/>
        <v>0.9507058582840038</v>
      </c>
      <c r="AA57" s="9">
        <f t="shared" si="18"/>
        <v>1.0000000000000002</v>
      </c>
      <c r="AB57" s="16"/>
      <c r="AC57" s="49"/>
      <c r="AE57" s="36">
        <f t="shared" si="23"/>
        <v>391.05824985097445</v>
      </c>
      <c r="AG57" s="36">
        <f t="shared" si="6"/>
        <v>410.6111073495752</v>
      </c>
      <c r="AI57" s="36">
        <f t="shared" si="7"/>
        <v>0</v>
      </c>
      <c r="AK57" s="36">
        <f t="shared" si="8"/>
        <v>0</v>
      </c>
      <c r="AL57" s="16"/>
      <c r="AN57" s="36">
        <f t="shared" si="24"/>
        <v>801.6693572005497</v>
      </c>
      <c r="AO57" s="16"/>
      <c r="AP57" s="49"/>
      <c r="AR57" s="45">
        <f t="shared" si="25"/>
        <v>1.3966716953570888E-09</v>
      </c>
      <c r="AT57" s="45">
        <f t="shared" si="26"/>
        <v>0.008472927611975363</v>
      </c>
      <c r="AV57" s="45">
        <f t="shared" si="27"/>
        <v>-0.000586587296213679</v>
      </c>
      <c r="AW57" s="16"/>
      <c r="AY57" s="45">
        <f t="shared" si="13"/>
        <v>0.007886341712433378</v>
      </c>
      <c r="AZ57" s="16"/>
    </row>
    <row r="58" spans="1:52" ht="15">
      <c r="A58" s="16"/>
      <c r="C58" s="4">
        <f t="shared" si="0"/>
        <v>86</v>
      </c>
      <c r="D58" s="4"/>
      <c r="E58" s="4">
        <v>46</v>
      </c>
      <c r="F58" s="16"/>
      <c r="G58" s="49"/>
      <c r="I58" s="35">
        <f t="shared" si="19"/>
        <v>0.12600000000000003</v>
      </c>
      <c r="K58" s="35">
        <f t="shared" si="20"/>
        <v>0.162</v>
      </c>
      <c r="M58" s="35">
        <f t="shared" si="21"/>
        <v>0.5040000000000001</v>
      </c>
      <c r="O58" s="35">
        <f t="shared" si="22"/>
        <v>0.45</v>
      </c>
      <c r="P58" s="16"/>
      <c r="Q58" s="49"/>
      <c r="S58" s="34">
        <f t="shared" si="14"/>
        <v>2.5318899502288854E-09</v>
      </c>
      <c r="U58" s="34">
        <f t="shared" si="15"/>
        <v>0.04153031210151128</v>
      </c>
      <c r="W58" s="34">
        <f t="shared" si="16"/>
        <v>0.018688640445680076</v>
      </c>
      <c r="Y58" s="34">
        <f t="shared" si="17"/>
        <v>0.958469685366599</v>
      </c>
      <c r="AA58" s="9">
        <f t="shared" si="18"/>
        <v>1.0000000000000002</v>
      </c>
      <c r="AB58" s="16"/>
      <c r="AC58" s="49"/>
      <c r="AE58" s="36">
        <f t="shared" si="23"/>
        <v>319.87046348053667</v>
      </c>
      <c r="AG58" s="36">
        <f t="shared" si="6"/>
        <v>335.8639661786615</v>
      </c>
      <c r="AI58" s="36">
        <f t="shared" si="7"/>
        <v>0</v>
      </c>
      <c r="AK58" s="36">
        <f t="shared" si="8"/>
        <v>0</v>
      </c>
      <c r="AL58" s="16"/>
      <c r="AN58" s="36">
        <f t="shared" si="24"/>
        <v>655.7344296591982</v>
      </c>
      <c r="AO58" s="16"/>
      <c r="AP58" s="49"/>
      <c r="AR58" s="45">
        <f t="shared" si="25"/>
        <v>5.200229079314986E-10</v>
      </c>
      <c r="AT58" s="45">
        <f t="shared" si="26"/>
        <v>0.006930526286226349</v>
      </c>
      <c r="AV58" s="45">
        <f t="shared" si="27"/>
        <v>-0.0004798056659695165</v>
      </c>
      <c r="AW58" s="16"/>
      <c r="AY58" s="45">
        <f t="shared" si="13"/>
        <v>0.0064507211402797405</v>
      </c>
      <c r="AZ58" s="16"/>
    </row>
    <row r="59" spans="1:52" ht="15">
      <c r="A59" s="16"/>
      <c r="C59" s="4">
        <f t="shared" si="0"/>
        <v>87</v>
      </c>
      <c r="D59" s="4"/>
      <c r="E59" s="4">
        <v>47</v>
      </c>
      <c r="F59" s="16"/>
      <c r="G59" s="49"/>
      <c r="I59" s="35">
        <f t="shared" si="19"/>
        <v>0.1305</v>
      </c>
      <c r="K59" s="35">
        <f t="shared" si="20"/>
        <v>0.1665</v>
      </c>
      <c r="M59" s="35">
        <f t="shared" si="21"/>
        <v>0.513</v>
      </c>
      <c r="O59" s="35">
        <f t="shared" si="22"/>
        <v>0.45</v>
      </c>
      <c r="P59" s="16"/>
      <c r="Q59" s="49"/>
      <c r="S59" s="34">
        <f t="shared" si="14"/>
        <v>9.367992815846874E-10</v>
      </c>
      <c r="U59" s="34">
        <f t="shared" si="15"/>
        <v>0.034802402817138985</v>
      </c>
      <c r="W59" s="34">
        <f t="shared" si="16"/>
        <v>0.015661081267712543</v>
      </c>
      <c r="Y59" s="34">
        <f t="shared" si="17"/>
        <v>0.965197596246062</v>
      </c>
      <c r="AA59" s="9">
        <f t="shared" si="18"/>
        <v>1.0000000000000002</v>
      </c>
      <c r="AB59" s="16"/>
      <c r="AC59" s="49"/>
      <c r="AE59" s="36">
        <f t="shared" si="23"/>
        <v>260.24412533856366</v>
      </c>
      <c r="AG59" s="36">
        <f t="shared" si="6"/>
        <v>273.2563242500708</v>
      </c>
      <c r="AI59" s="36">
        <f t="shared" si="7"/>
        <v>0</v>
      </c>
      <c r="AK59" s="36">
        <f t="shared" si="8"/>
        <v>0</v>
      </c>
      <c r="AL59" s="16"/>
      <c r="AN59" s="36">
        <f t="shared" si="24"/>
        <v>533.5004495886344</v>
      </c>
      <c r="AO59" s="16"/>
      <c r="AP59" s="49"/>
      <c r="AR59" s="45">
        <f t="shared" si="25"/>
        <v>1.8680434556762564E-10</v>
      </c>
      <c r="AT59" s="45">
        <f t="shared" si="26"/>
        <v>0.0056386225638903505</v>
      </c>
      <c r="AV59" s="45">
        <f t="shared" si="27"/>
        <v>-0.00039036617750010116</v>
      </c>
      <c r="AW59" s="16"/>
      <c r="AY59" s="45">
        <f t="shared" si="13"/>
        <v>0.005248256573194595</v>
      </c>
      <c r="AZ59" s="16"/>
    </row>
    <row r="60" spans="1:52" ht="15">
      <c r="A60" s="16"/>
      <c r="C60" s="4">
        <f t="shared" si="0"/>
        <v>88</v>
      </c>
      <c r="D60" s="4"/>
      <c r="E60" s="4">
        <v>48</v>
      </c>
      <c r="F60" s="16"/>
      <c r="G60" s="49"/>
      <c r="I60" s="35">
        <f t="shared" si="19"/>
        <v>0.135</v>
      </c>
      <c r="K60" s="35">
        <f t="shared" si="20"/>
        <v>0.171</v>
      </c>
      <c r="M60" s="35">
        <f t="shared" si="21"/>
        <v>0.522</v>
      </c>
      <c r="O60" s="35">
        <f t="shared" si="22"/>
        <v>0.45</v>
      </c>
      <c r="P60" s="16"/>
      <c r="Q60" s="49"/>
      <c r="S60" s="34">
        <f t="shared" si="14"/>
        <v>3.339689438849411E-10</v>
      </c>
      <c r="U60" s="34">
        <f t="shared" si="15"/>
        <v>0.02900780322866337</v>
      </c>
      <c r="W60" s="34">
        <f t="shared" si="16"/>
        <v>0.013053511452898518</v>
      </c>
      <c r="Y60" s="34">
        <f t="shared" si="17"/>
        <v>0.970992196437368</v>
      </c>
      <c r="AA60" s="9">
        <f t="shared" si="18"/>
        <v>1.0000000000000002</v>
      </c>
      <c r="AB60" s="16"/>
      <c r="AC60" s="49"/>
      <c r="AE60" s="36">
        <f t="shared" si="23"/>
        <v>210.595610409591</v>
      </c>
      <c r="AG60" s="36">
        <f t="shared" si="6"/>
        <v>221.12538838423788</v>
      </c>
      <c r="AI60" s="36">
        <f t="shared" si="7"/>
        <v>0</v>
      </c>
      <c r="AK60" s="36">
        <f t="shared" si="8"/>
        <v>0</v>
      </c>
      <c r="AL60" s="16"/>
      <c r="AN60" s="36">
        <f t="shared" si="24"/>
        <v>431.72099879382887</v>
      </c>
      <c r="AO60" s="16"/>
      <c r="AP60" s="49"/>
      <c r="AR60" s="45">
        <f t="shared" si="25"/>
        <v>6.465606717947432E-11</v>
      </c>
      <c r="AT60" s="45">
        <f t="shared" si="26"/>
        <v>0.0045629048396747494</v>
      </c>
      <c r="AV60" s="45">
        <f t="shared" si="27"/>
        <v>-0.00031589341197748276</v>
      </c>
      <c r="AW60" s="16"/>
      <c r="AY60" s="45">
        <f t="shared" si="13"/>
        <v>0.004247011492353334</v>
      </c>
      <c r="AZ60" s="16"/>
    </row>
    <row r="61" spans="1:52" ht="15">
      <c r="A61" s="16"/>
      <c r="C61" s="4">
        <f t="shared" si="0"/>
        <v>89</v>
      </c>
      <c r="D61" s="4"/>
      <c r="E61" s="4">
        <v>49</v>
      </c>
      <c r="F61" s="16"/>
      <c r="G61" s="49"/>
      <c r="I61" s="35">
        <f t="shared" si="19"/>
        <v>0.1395</v>
      </c>
      <c r="K61" s="35">
        <f t="shared" si="20"/>
        <v>0.17550000000000002</v>
      </c>
      <c r="M61" s="35">
        <f t="shared" si="21"/>
        <v>0.531</v>
      </c>
      <c r="O61" s="35">
        <f t="shared" si="22"/>
        <v>0.45</v>
      </c>
      <c r="P61" s="16"/>
      <c r="Q61" s="49"/>
      <c r="S61" s="34">
        <f t="shared" si="14"/>
        <v>1.1455134775253479E-10</v>
      </c>
      <c r="U61" s="34">
        <f t="shared" si="15"/>
        <v>0.02404746905089372</v>
      </c>
      <c r="W61" s="34">
        <f t="shared" si="16"/>
        <v>0.010821361072902175</v>
      </c>
      <c r="Y61" s="34">
        <f t="shared" si="17"/>
        <v>0.9759525308345552</v>
      </c>
      <c r="AA61" s="9">
        <f t="shared" si="18"/>
        <v>1.0000000000000002</v>
      </c>
      <c r="AB61" s="16"/>
      <c r="AC61" s="49"/>
      <c r="AE61" s="36">
        <f t="shared" si="23"/>
        <v>169.49879720081225</v>
      </c>
      <c r="AG61" s="36">
        <f t="shared" si="6"/>
        <v>177.97373621306588</v>
      </c>
      <c r="AI61" s="36">
        <f t="shared" si="7"/>
        <v>0</v>
      </c>
      <c r="AK61" s="36">
        <f t="shared" si="8"/>
        <v>0</v>
      </c>
      <c r="AL61" s="16"/>
      <c r="AN61" s="36">
        <f t="shared" si="24"/>
        <v>347.4725334138781</v>
      </c>
      <c r="AO61" s="16"/>
      <c r="AP61" s="49"/>
      <c r="AR61" s="45">
        <f t="shared" si="25"/>
        <v>2.153109809957252E-11</v>
      </c>
      <c r="AT61" s="45">
        <f t="shared" si="26"/>
        <v>0.0036724739218569153</v>
      </c>
      <c r="AV61" s="45">
        <f t="shared" si="27"/>
        <v>-0.00025424819459009414</v>
      </c>
      <c r="AW61" s="16"/>
      <c r="AY61" s="45">
        <f t="shared" si="13"/>
        <v>0.003418225748797919</v>
      </c>
      <c r="AZ61" s="16"/>
    </row>
    <row r="62" spans="1:52" ht="15">
      <c r="A62" s="16"/>
      <c r="C62" s="4">
        <f t="shared" si="0"/>
        <v>90</v>
      </c>
      <c r="D62" s="4"/>
      <c r="E62" s="4">
        <v>50</v>
      </c>
      <c r="F62" s="16"/>
      <c r="G62" s="49"/>
      <c r="I62" s="35">
        <f t="shared" si="19"/>
        <v>0.14400000000000002</v>
      </c>
      <c r="K62" s="35">
        <f t="shared" si="20"/>
        <v>0.18000000000000002</v>
      </c>
      <c r="M62" s="35">
        <f t="shared" si="21"/>
        <v>0.54</v>
      </c>
      <c r="O62" s="35">
        <f t="shared" si="22"/>
        <v>0.45</v>
      </c>
      <c r="P62" s="16"/>
      <c r="Q62" s="49"/>
      <c r="S62" s="34">
        <f t="shared" si="14"/>
        <v>3.77446690844602E-11</v>
      </c>
      <c r="U62" s="34">
        <f t="shared" si="15"/>
        <v>0.01982713829328864</v>
      </c>
      <c r="W62" s="34">
        <f t="shared" si="16"/>
        <v>0.008922212231979889</v>
      </c>
      <c r="Y62" s="34">
        <f t="shared" si="17"/>
        <v>0.980172861668967</v>
      </c>
      <c r="AA62" s="9">
        <f t="shared" si="18"/>
        <v>1.0000000000000002</v>
      </c>
      <c r="AB62" s="16"/>
      <c r="AC62" s="49"/>
      <c r="AE62" s="36">
        <f t="shared" si="23"/>
        <v>135.68131875838515</v>
      </c>
      <c r="AG62" s="36">
        <f t="shared" si="6"/>
        <v>142.4653844250949</v>
      </c>
      <c r="AI62" s="36">
        <f t="shared" si="7"/>
        <v>0</v>
      </c>
      <c r="AK62" s="36">
        <f t="shared" si="8"/>
        <v>0</v>
      </c>
      <c r="AL62" s="16"/>
      <c r="AN62" s="36">
        <f t="shared" si="24"/>
        <v>278.14670318348004</v>
      </c>
      <c r="AO62" s="16"/>
      <c r="AP62" s="49"/>
      <c r="AR62" s="45">
        <f t="shared" si="25"/>
        <v>6.887860993989459E-12</v>
      </c>
      <c r="AT62" s="45">
        <f t="shared" si="26"/>
        <v>0.0029397619008352913</v>
      </c>
      <c r="AV62" s="45">
        <f t="shared" si="27"/>
        <v>-0.00020352197775013557</v>
      </c>
      <c r="AW62" s="16"/>
      <c r="AY62" s="45">
        <f t="shared" si="13"/>
        <v>0.0027362399299730167</v>
      </c>
      <c r="AZ62" s="16"/>
    </row>
    <row r="63" spans="1:52" ht="15">
      <c r="A63" s="16"/>
      <c r="C63" s="4">
        <f t="shared" si="0"/>
        <v>91</v>
      </c>
      <c r="D63" s="4"/>
      <c r="E63" s="4">
        <v>51</v>
      </c>
      <c r="F63" s="16"/>
      <c r="G63" s="49"/>
      <c r="I63" s="35">
        <f t="shared" si="19"/>
        <v>0.14850000000000002</v>
      </c>
      <c r="K63" s="35">
        <f t="shared" si="20"/>
        <v>0.1845</v>
      </c>
      <c r="M63" s="35">
        <f t="shared" si="21"/>
        <v>0.549</v>
      </c>
      <c r="O63" s="35">
        <f t="shared" si="22"/>
        <v>0.45</v>
      </c>
      <c r="P63" s="16"/>
      <c r="Q63" s="49"/>
      <c r="S63" s="34">
        <f t="shared" si="14"/>
        <v>1.1927315430689421E-11</v>
      </c>
      <c r="U63" s="34">
        <f t="shared" si="15"/>
        <v>0.016258253420878804</v>
      </c>
      <c r="W63" s="34">
        <f t="shared" si="16"/>
        <v>0.007316214039395462</v>
      </c>
      <c r="Y63" s="34">
        <f t="shared" si="17"/>
        <v>0.9837417465671942</v>
      </c>
      <c r="AA63" s="9">
        <f t="shared" si="18"/>
        <v>1.0000000000000002</v>
      </c>
      <c r="AB63" s="16"/>
      <c r="AC63" s="49"/>
      <c r="AE63" s="36">
        <f t="shared" si="23"/>
        <v>108.01813727298487</v>
      </c>
      <c r="AG63" s="36">
        <f t="shared" si="6"/>
        <v>113.41904405342808</v>
      </c>
      <c r="AI63" s="36">
        <f t="shared" si="7"/>
        <v>0</v>
      </c>
      <c r="AK63" s="36">
        <f t="shared" si="8"/>
        <v>0</v>
      </c>
      <c r="AL63" s="16"/>
      <c r="AN63" s="36">
        <f t="shared" si="24"/>
        <v>221.43718132641294</v>
      </c>
      <c r="AO63" s="16"/>
      <c r="AP63" s="49"/>
      <c r="AR63" s="45">
        <f t="shared" si="25"/>
        <v>2.1131690039812314E-12</v>
      </c>
      <c r="AT63" s="45">
        <f t="shared" si="26"/>
        <v>0.002340392972531056</v>
      </c>
      <c r="AV63" s="45">
        <f t="shared" si="27"/>
        <v>-0.00016202720579061157</v>
      </c>
      <c r="AW63" s="16"/>
      <c r="AY63" s="45">
        <f t="shared" si="13"/>
        <v>0.0021783657688536134</v>
      </c>
      <c r="AZ63" s="16"/>
    </row>
    <row r="64" spans="1:52" ht="15">
      <c r="A64" s="16"/>
      <c r="C64" s="4">
        <f t="shared" si="0"/>
        <v>92</v>
      </c>
      <c r="D64" s="4"/>
      <c r="E64" s="4">
        <v>52</v>
      </c>
      <c r="F64" s="16"/>
      <c r="G64" s="49"/>
      <c r="I64" s="35">
        <f t="shared" si="19"/>
        <v>0.15300000000000002</v>
      </c>
      <c r="K64" s="35">
        <f t="shared" si="20"/>
        <v>0.189</v>
      </c>
      <c r="M64" s="35">
        <f t="shared" si="21"/>
        <v>0.558</v>
      </c>
      <c r="O64" s="35">
        <f t="shared" si="22"/>
        <v>0.45</v>
      </c>
      <c r="P64" s="16"/>
      <c r="Q64" s="49"/>
      <c r="S64" s="34">
        <f t="shared" si="14"/>
        <v>3.6080129177835505E-12</v>
      </c>
      <c r="U64" s="34">
        <f t="shared" si="15"/>
        <v>0.013258605671274761</v>
      </c>
      <c r="W64" s="34">
        <f t="shared" si="16"/>
        <v>0.005966372552073643</v>
      </c>
      <c r="Y64" s="34">
        <f t="shared" si="17"/>
        <v>0.9867413943251175</v>
      </c>
      <c r="AA64" s="9">
        <f t="shared" si="18"/>
        <v>1.0000000000000002</v>
      </c>
      <c r="AB64" s="16"/>
      <c r="AC64" s="49"/>
      <c r="AE64" s="36">
        <f t="shared" si="23"/>
        <v>85.52309800871062</v>
      </c>
      <c r="AG64" s="36">
        <f t="shared" si="6"/>
        <v>89.79925288470943</v>
      </c>
      <c r="AI64" s="36">
        <f t="shared" si="7"/>
        <v>0</v>
      </c>
      <c r="AK64" s="36">
        <f t="shared" si="8"/>
        <v>0</v>
      </c>
      <c r="AL64" s="16"/>
      <c r="AN64" s="36">
        <f t="shared" si="24"/>
        <v>175.32235089342004</v>
      </c>
      <c r="AO64" s="16"/>
      <c r="AP64" s="49"/>
      <c r="AR64" s="45">
        <f t="shared" si="25"/>
        <v>6.206151686449735E-13</v>
      </c>
      <c r="AT64" s="45">
        <f t="shared" si="26"/>
        <v>0.0018530004563511468</v>
      </c>
      <c r="AV64" s="45">
        <f t="shared" si="27"/>
        <v>-0.00012828464697815635</v>
      </c>
      <c r="AW64" s="16"/>
      <c r="AY64" s="45">
        <f t="shared" si="13"/>
        <v>0.0017247158099936055</v>
      </c>
      <c r="AZ64" s="16"/>
    </row>
    <row r="65" spans="1:52" ht="15">
      <c r="A65" s="16"/>
      <c r="C65" s="4">
        <f t="shared" si="0"/>
        <v>93</v>
      </c>
      <c r="D65" s="4"/>
      <c r="E65" s="4">
        <v>53</v>
      </c>
      <c r="F65" s="16"/>
      <c r="G65" s="49"/>
      <c r="I65" s="35">
        <f t="shared" si="19"/>
        <v>0.1575</v>
      </c>
      <c r="K65" s="35">
        <f t="shared" si="20"/>
        <v>0.1935</v>
      </c>
      <c r="M65" s="35">
        <f t="shared" si="21"/>
        <v>0.5670000000000001</v>
      </c>
      <c r="O65" s="35">
        <f t="shared" si="22"/>
        <v>0.45</v>
      </c>
      <c r="P65" s="16"/>
      <c r="Q65" s="49"/>
      <c r="S65" s="34">
        <f t="shared" si="14"/>
        <v>1.0427157332394457E-12</v>
      </c>
      <c r="U65" s="34">
        <f t="shared" si="15"/>
        <v>0.010752729201417103</v>
      </c>
      <c r="W65" s="34">
        <f t="shared" si="16"/>
        <v>0.004838728140637696</v>
      </c>
      <c r="Y65" s="34">
        <f t="shared" si="17"/>
        <v>0.9892472707975405</v>
      </c>
      <c r="AA65" s="9">
        <f t="shared" si="18"/>
        <v>1.0000000000000002</v>
      </c>
      <c r="AB65" s="16"/>
      <c r="AC65" s="49"/>
      <c r="AE65" s="36">
        <f t="shared" si="23"/>
        <v>67.33906066592442</v>
      </c>
      <c r="AG65" s="36">
        <f t="shared" si="6"/>
        <v>70.70601369236412</v>
      </c>
      <c r="AI65" s="36">
        <f t="shared" si="7"/>
        <v>0</v>
      </c>
      <c r="AK65" s="36">
        <f t="shared" si="8"/>
        <v>0</v>
      </c>
      <c r="AL65" s="16"/>
      <c r="AN65" s="36">
        <f t="shared" si="24"/>
        <v>138.04507435828856</v>
      </c>
      <c r="AO65" s="16"/>
      <c r="AP65" s="49"/>
      <c r="AR65" s="45">
        <f t="shared" si="25"/>
        <v>1.741337706198032E-13</v>
      </c>
      <c r="AT65" s="45">
        <f t="shared" si="26"/>
        <v>0.0014590129809535454</v>
      </c>
      <c r="AV65" s="45">
        <f t="shared" si="27"/>
        <v>-0.00010100859098909161</v>
      </c>
      <c r="AW65" s="16"/>
      <c r="AY65" s="45">
        <f t="shared" si="13"/>
        <v>0.0013580043901385876</v>
      </c>
      <c r="AZ65" s="16"/>
    </row>
    <row r="66" spans="1:52" ht="15">
      <c r="A66" s="16"/>
      <c r="C66" s="4">
        <f t="shared" si="0"/>
        <v>94</v>
      </c>
      <c r="D66" s="4"/>
      <c r="E66" s="4">
        <v>54</v>
      </c>
      <c r="F66" s="16"/>
      <c r="G66" s="49"/>
      <c r="I66" s="35">
        <f t="shared" si="19"/>
        <v>0.162</v>
      </c>
      <c r="K66" s="35">
        <f t="shared" si="20"/>
        <v>0.198</v>
      </c>
      <c r="M66" s="35">
        <f t="shared" si="21"/>
        <v>0.5760000000000001</v>
      </c>
      <c r="O66" s="35">
        <f t="shared" si="22"/>
        <v>0.45</v>
      </c>
      <c r="P66" s="16"/>
      <c r="Q66" s="49"/>
      <c r="S66" s="34">
        <f t="shared" si="14"/>
        <v>2.8726818450746725E-13</v>
      </c>
      <c r="U66" s="34">
        <f t="shared" si="15"/>
        <v>0.008672076101534113</v>
      </c>
      <c r="W66" s="34">
        <f t="shared" si="16"/>
        <v>0.003902434245690351</v>
      </c>
      <c r="Y66" s="34">
        <f t="shared" si="17"/>
        <v>0.9913279238981789</v>
      </c>
      <c r="AA66" s="9">
        <f t="shared" si="18"/>
        <v>1.0000000000000002</v>
      </c>
      <c r="AB66" s="16"/>
      <c r="AC66" s="49"/>
      <c r="AE66" s="36">
        <f t="shared" si="23"/>
        <v>52.727138278935065</v>
      </c>
      <c r="AG66" s="36">
        <f t="shared" si="6"/>
        <v>55.36349519104787</v>
      </c>
      <c r="AI66" s="36">
        <f t="shared" si="7"/>
        <v>0</v>
      </c>
      <c r="AK66" s="36">
        <f t="shared" si="8"/>
        <v>0</v>
      </c>
      <c r="AL66" s="16"/>
      <c r="AN66" s="36">
        <f t="shared" si="24"/>
        <v>108.09063346998293</v>
      </c>
      <c r="AO66" s="16"/>
      <c r="AP66" s="49"/>
      <c r="AR66" s="45">
        <f t="shared" si="25"/>
        <v>4.657655709296677E-14</v>
      </c>
      <c r="AT66" s="45">
        <f t="shared" si="26"/>
        <v>0.0011424213293390831</v>
      </c>
      <c r="AV66" s="45">
        <f t="shared" si="27"/>
        <v>-7.909070741578268E-05</v>
      </c>
      <c r="AW66" s="16"/>
      <c r="AY66" s="45">
        <f t="shared" si="13"/>
        <v>0.001063330621969877</v>
      </c>
      <c r="AZ66" s="16"/>
    </row>
    <row r="67" spans="1:52" ht="15">
      <c r="A67" s="16"/>
      <c r="C67" s="4">
        <f t="shared" si="0"/>
        <v>95</v>
      </c>
      <c r="D67" s="4"/>
      <c r="E67" s="4">
        <v>55</v>
      </c>
      <c r="F67" s="16"/>
      <c r="G67" s="49"/>
      <c r="I67" s="35">
        <f t="shared" si="19"/>
        <v>0.1665</v>
      </c>
      <c r="K67" s="35">
        <f t="shared" si="20"/>
        <v>0.2025</v>
      </c>
      <c r="M67" s="35">
        <f t="shared" si="21"/>
        <v>0.5850000000000001</v>
      </c>
      <c r="O67" s="35">
        <f t="shared" si="22"/>
        <v>0.45</v>
      </c>
      <c r="P67" s="16"/>
      <c r="Q67" s="49"/>
      <c r="S67" s="34">
        <f t="shared" si="14"/>
        <v>7.52642643409564E-14</v>
      </c>
      <c r="U67" s="34">
        <f t="shared" si="15"/>
        <v>0.006955005033595826</v>
      </c>
      <c r="W67" s="34">
        <f t="shared" si="16"/>
        <v>0.003129752265118122</v>
      </c>
      <c r="Y67" s="34">
        <f t="shared" si="17"/>
        <v>0.9930449949663291</v>
      </c>
      <c r="AA67" s="9">
        <f t="shared" si="18"/>
        <v>1.0000000000000002</v>
      </c>
      <c r="AB67" s="16"/>
      <c r="AC67" s="49"/>
      <c r="AE67" s="36">
        <f t="shared" si="23"/>
        <v>41.05549990268816</v>
      </c>
      <c r="AG67" s="36">
        <f t="shared" si="6"/>
        <v>43.10827489735607</v>
      </c>
      <c r="AI67" s="36">
        <f t="shared" si="7"/>
        <v>0</v>
      </c>
      <c r="AK67" s="36">
        <f t="shared" si="8"/>
        <v>0</v>
      </c>
      <c r="AL67" s="16"/>
      <c r="AN67" s="36">
        <f t="shared" si="24"/>
        <v>84.16377480004422</v>
      </c>
      <c r="AO67" s="16"/>
      <c r="AP67" s="49"/>
      <c r="AR67" s="45">
        <f t="shared" si="25"/>
        <v>1.1847629085783774E-14</v>
      </c>
      <c r="AT67" s="45">
        <f t="shared" si="26"/>
        <v>0.0008895358312152839</v>
      </c>
      <c r="AV67" s="45">
        <f t="shared" si="27"/>
        <v>-6.158324985336582E-05</v>
      </c>
      <c r="AW67" s="16"/>
      <c r="AY67" s="45">
        <f t="shared" si="13"/>
        <v>0.0008279525813737657</v>
      </c>
      <c r="AZ67" s="16"/>
    </row>
    <row r="68" spans="1:52" ht="15">
      <c r="A68" s="16"/>
      <c r="C68" s="4">
        <f t="shared" si="0"/>
        <v>96</v>
      </c>
      <c r="D68" s="4"/>
      <c r="E68" s="4">
        <v>56</v>
      </c>
      <c r="F68" s="16"/>
      <c r="G68" s="49"/>
      <c r="I68" s="35">
        <f t="shared" si="19"/>
        <v>0.171</v>
      </c>
      <c r="K68" s="35">
        <f t="shared" si="20"/>
        <v>0.20700000000000002</v>
      </c>
      <c r="M68" s="35">
        <f t="shared" si="21"/>
        <v>0.5940000000000001</v>
      </c>
      <c r="O68" s="35">
        <f t="shared" si="22"/>
        <v>0.45</v>
      </c>
      <c r="P68" s="16"/>
      <c r="Q68" s="49"/>
      <c r="S68" s="34">
        <f t="shared" si="14"/>
        <v>1.8703169688727663E-14</v>
      </c>
      <c r="U68" s="34">
        <f t="shared" si="15"/>
        <v>0.005546616514336701</v>
      </c>
      <c r="W68" s="34">
        <f t="shared" si="16"/>
        <v>0.0024959774314515155</v>
      </c>
      <c r="Y68" s="34">
        <f t="shared" si="17"/>
        <v>0.9944533834856448</v>
      </c>
      <c r="AA68" s="9">
        <f t="shared" si="18"/>
        <v>1.0000000000000002</v>
      </c>
      <c r="AB68" s="16"/>
      <c r="AC68" s="49"/>
      <c r="AE68" s="36">
        <f t="shared" si="23"/>
        <v>31.78811764311632</v>
      </c>
      <c r="AG68" s="36">
        <f t="shared" si="6"/>
        <v>33.37752352515959</v>
      </c>
      <c r="AI68" s="36">
        <f t="shared" si="7"/>
        <v>0</v>
      </c>
      <c r="AK68" s="36">
        <f t="shared" si="8"/>
        <v>0</v>
      </c>
      <c r="AL68" s="16"/>
      <c r="AN68" s="36">
        <f t="shared" si="24"/>
        <v>65.16564116827591</v>
      </c>
      <c r="AO68" s="16"/>
      <c r="AP68" s="49"/>
      <c r="AR68" s="45">
        <f t="shared" si="25"/>
        <v>2.858384298851717E-15</v>
      </c>
      <c r="AT68" s="45">
        <f t="shared" si="26"/>
        <v>0.0006887425489318645</v>
      </c>
      <c r="AV68" s="45">
        <f t="shared" si="27"/>
        <v>-4.76821764645137E-05</v>
      </c>
      <c r="AW68" s="16"/>
      <c r="AY68" s="45">
        <f t="shared" si="13"/>
        <v>0.0006410603724702091</v>
      </c>
      <c r="AZ68" s="16"/>
    </row>
    <row r="69" spans="1:52" ht="15">
      <c r="A69" s="16"/>
      <c r="C69" s="4">
        <f t="shared" si="0"/>
        <v>97</v>
      </c>
      <c r="D69" s="4"/>
      <c r="E69" s="4">
        <v>57</v>
      </c>
      <c r="F69" s="16"/>
      <c r="G69" s="49"/>
      <c r="I69" s="35">
        <f t="shared" si="19"/>
        <v>0.17550000000000002</v>
      </c>
      <c r="K69" s="35">
        <f t="shared" si="20"/>
        <v>0.2115</v>
      </c>
      <c r="M69" s="35">
        <f t="shared" si="21"/>
        <v>0.6030000000000001</v>
      </c>
      <c r="O69" s="35">
        <f t="shared" si="22"/>
        <v>0.45</v>
      </c>
      <c r="P69" s="16"/>
      <c r="Q69" s="49"/>
      <c r="S69" s="34">
        <f t="shared" si="14"/>
        <v>4.395244876851E-15</v>
      </c>
      <c r="U69" s="34">
        <f t="shared" si="15"/>
        <v>0.004398466895880113</v>
      </c>
      <c r="W69" s="34">
        <f t="shared" si="16"/>
        <v>0.001979310103146051</v>
      </c>
      <c r="Y69" s="34">
        <f t="shared" si="17"/>
        <v>0.9956015331041157</v>
      </c>
      <c r="AA69" s="9">
        <f t="shared" si="18"/>
        <v>1.0000000000000002</v>
      </c>
      <c r="AB69" s="16"/>
      <c r="AC69" s="49"/>
      <c r="AE69" s="36">
        <f t="shared" si="23"/>
        <v>24.473764360189413</v>
      </c>
      <c r="AG69" s="36">
        <f t="shared" si="6"/>
        <v>25.697452578173205</v>
      </c>
      <c r="AI69" s="36">
        <f t="shared" si="7"/>
        <v>0</v>
      </c>
      <c r="AK69" s="36">
        <f t="shared" si="8"/>
        <v>0</v>
      </c>
      <c r="AL69" s="16"/>
      <c r="AN69" s="36">
        <f t="shared" si="24"/>
        <v>50.17121693836262</v>
      </c>
      <c r="AO69" s="16"/>
      <c r="AP69" s="49"/>
      <c r="AR69" s="45">
        <f t="shared" si="25"/>
        <v>6.521556410001487E-16</v>
      </c>
      <c r="AT69" s="45">
        <f t="shared" si="26"/>
        <v>0.0005302648944702408</v>
      </c>
      <c r="AV69" s="45">
        <f t="shared" si="27"/>
        <v>-3.671064654024744E-05</v>
      </c>
      <c r="AW69" s="16"/>
      <c r="AY69" s="45">
        <f t="shared" si="13"/>
        <v>0.0004935542479306455</v>
      </c>
      <c r="AZ69" s="16"/>
    </row>
    <row r="70" spans="1:52" ht="15">
      <c r="A70" s="16"/>
      <c r="C70" s="4">
        <f t="shared" si="0"/>
        <v>98</v>
      </c>
      <c r="D70" s="4"/>
      <c r="E70" s="4">
        <v>58</v>
      </c>
      <c r="F70" s="16"/>
      <c r="G70" s="49"/>
      <c r="I70" s="35">
        <f t="shared" si="19"/>
        <v>0.18000000000000002</v>
      </c>
      <c r="K70" s="35">
        <f t="shared" si="20"/>
        <v>0.216</v>
      </c>
      <c r="M70" s="35">
        <f t="shared" si="21"/>
        <v>0.6120000000000001</v>
      </c>
      <c r="O70" s="35">
        <f t="shared" si="22"/>
        <v>0.45</v>
      </c>
      <c r="P70" s="16"/>
      <c r="Q70" s="49"/>
      <c r="S70" s="34">
        <f t="shared" si="14"/>
        <v>9.735467402224963E-16</v>
      </c>
      <c r="U70" s="34">
        <f t="shared" si="15"/>
        <v>0.00346819114740412</v>
      </c>
      <c r="W70" s="34">
        <f t="shared" si="16"/>
        <v>0.001560686016331854</v>
      </c>
      <c r="Y70" s="34">
        <f t="shared" si="17"/>
        <v>0.9965318088525951</v>
      </c>
      <c r="AA70" s="9">
        <f t="shared" si="18"/>
        <v>1.0000000000000002</v>
      </c>
      <c r="AB70" s="16"/>
      <c r="AC70" s="49"/>
      <c r="AE70" s="36">
        <f t="shared" si="23"/>
        <v>18.735498250495375</v>
      </c>
      <c r="AG70" s="36">
        <f t="shared" si="6"/>
        <v>19.67227316301462</v>
      </c>
      <c r="AI70" s="36">
        <f t="shared" si="7"/>
        <v>0</v>
      </c>
      <c r="AK70" s="36">
        <f t="shared" si="8"/>
        <v>0</v>
      </c>
      <c r="AL70" s="16"/>
      <c r="AN70" s="36">
        <f t="shared" si="24"/>
        <v>38.40777141350999</v>
      </c>
      <c r="AO70" s="16"/>
      <c r="AP70" s="49"/>
      <c r="AR70" s="45">
        <f t="shared" si="25"/>
        <v>1.4024512085585721E-16</v>
      </c>
      <c r="AT70" s="45">
        <f t="shared" si="26"/>
        <v>0.00040593579542728584</v>
      </c>
      <c r="AV70" s="45">
        <f t="shared" si="27"/>
        <v>-2.8103247375735176E-05</v>
      </c>
      <c r="AW70" s="16"/>
      <c r="AY70" s="45">
        <f t="shared" si="13"/>
        <v>0.0003778325480516909</v>
      </c>
      <c r="AZ70" s="16"/>
    </row>
    <row r="71" spans="1:52" ht="15">
      <c r="A71" s="16"/>
      <c r="C71" s="4">
        <f t="shared" si="0"/>
        <v>99</v>
      </c>
      <c r="D71" s="4"/>
      <c r="E71" s="4">
        <v>59</v>
      </c>
      <c r="F71" s="16"/>
      <c r="G71" s="49"/>
      <c r="I71" s="35">
        <f t="shared" si="19"/>
        <v>0.1845</v>
      </c>
      <c r="K71" s="35">
        <f t="shared" si="20"/>
        <v>0.2205</v>
      </c>
      <c r="M71" s="35">
        <f t="shared" si="21"/>
        <v>0.621</v>
      </c>
      <c r="O71" s="35">
        <f t="shared" si="22"/>
        <v>0.45</v>
      </c>
      <c r="P71" s="16"/>
      <c r="Q71" s="49"/>
      <c r="S71" s="34">
        <f t="shared" si="14"/>
        <v>2.0249772196627905E-16</v>
      </c>
      <c r="U71" s="34">
        <f t="shared" si="15"/>
        <v>0.002719061859565426</v>
      </c>
      <c r="W71" s="34">
        <f t="shared" si="16"/>
        <v>0.0012235778368044417</v>
      </c>
      <c r="Y71" s="34">
        <f t="shared" si="17"/>
        <v>0.9972809381404346</v>
      </c>
      <c r="AA71" s="9">
        <f t="shared" si="18"/>
        <v>1.0000000000000002</v>
      </c>
      <c r="AB71" s="16"/>
      <c r="AC71" s="49"/>
      <c r="AE71" s="36">
        <f t="shared" si="23"/>
        <v>14.260806435328698</v>
      </c>
      <c r="AG71" s="36">
        <f t="shared" si="6"/>
        <v>14.973846757094021</v>
      </c>
      <c r="AI71" s="36">
        <f t="shared" si="7"/>
        <v>0</v>
      </c>
      <c r="AK71" s="36">
        <f t="shared" si="8"/>
        <v>0</v>
      </c>
      <c r="AL71" s="16"/>
      <c r="AN71" s="36">
        <f t="shared" si="24"/>
        <v>29.23465319242272</v>
      </c>
      <c r="AO71" s="16"/>
      <c r="AP71" s="49"/>
      <c r="AR71" s="45">
        <f t="shared" si="25"/>
        <v>2.83213447941925E-17</v>
      </c>
      <c r="AT71" s="45">
        <f t="shared" si="26"/>
        <v>0.00030898413943209884</v>
      </c>
      <c r="AV71" s="45">
        <f t="shared" si="27"/>
        <v>-2.1391209652991462E-05</v>
      </c>
      <c r="AW71" s="16"/>
      <c r="AY71" s="45">
        <f t="shared" si="13"/>
        <v>0.00028759292977913566</v>
      </c>
      <c r="AZ71" s="16"/>
    </row>
    <row r="72" spans="1:52" ht="15">
      <c r="A72" s="16"/>
      <c r="C72" s="4">
        <f t="shared" si="0"/>
        <v>100</v>
      </c>
      <c r="D72" s="4"/>
      <c r="E72" s="4">
        <v>60</v>
      </c>
      <c r="F72" s="16"/>
      <c r="G72" s="49"/>
      <c r="I72" s="35">
        <f t="shared" si="19"/>
        <v>0.189</v>
      </c>
      <c r="K72" s="35">
        <f t="shared" si="20"/>
        <v>0.225</v>
      </c>
      <c r="M72" s="35">
        <f t="shared" si="21"/>
        <v>0.63</v>
      </c>
      <c r="O72" s="35">
        <f t="shared" si="22"/>
        <v>0.45</v>
      </c>
      <c r="P72" s="16"/>
      <c r="Q72" s="49"/>
      <c r="S72" s="34">
        <f t="shared" si="14"/>
        <v>3.938580692244128E-17</v>
      </c>
      <c r="U72" s="34">
        <f t="shared" si="15"/>
        <v>0.0021195087195313754</v>
      </c>
      <c r="W72" s="34">
        <f t="shared" si="16"/>
        <v>0.000953778923789119</v>
      </c>
      <c r="Y72" s="34">
        <f t="shared" si="17"/>
        <v>0.9978804912804687</v>
      </c>
      <c r="AA72" s="9">
        <f t="shared" si="18"/>
        <v>1.0000000000000002</v>
      </c>
      <c r="AB72" s="16"/>
      <c r="AC72" s="49"/>
      <c r="AE72" s="36">
        <f t="shared" si="23"/>
        <v>10.792522928484235</v>
      </c>
      <c r="AG72" s="36">
        <f t="shared" si="6"/>
        <v>11.332149074908237</v>
      </c>
      <c r="AI72" s="36">
        <f t="shared" si="7"/>
        <v>0</v>
      </c>
      <c r="AK72" s="36">
        <f t="shared" si="8"/>
        <v>0</v>
      </c>
      <c r="AL72" s="16"/>
      <c r="AN72" s="36">
        <f t="shared" si="24"/>
        <v>22.124672003392472</v>
      </c>
      <c r="AO72" s="16"/>
      <c r="AP72" s="49"/>
      <c r="AR72" s="45">
        <f t="shared" si="25"/>
        <v>5.348059769388779E-18</v>
      </c>
      <c r="AT72" s="45">
        <f t="shared" si="26"/>
        <v>0.00023383799678382074</v>
      </c>
      <c r="AV72" s="45">
        <f t="shared" si="27"/>
        <v>-1.6188784392726053E-05</v>
      </c>
      <c r="AW72" s="16"/>
      <c r="AY72" s="45">
        <f t="shared" si="13"/>
        <v>0.00021764921239110003</v>
      </c>
      <c r="AZ72" s="16"/>
    </row>
    <row r="73" spans="1:52" ht="15">
      <c r="A73" s="16"/>
      <c r="C73" s="4">
        <f t="shared" si="0"/>
        <v>101</v>
      </c>
      <c r="D73" s="4"/>
      <c r="E73" s="4">
        <v>61</v>
      </c>
      <c r="F73" s="16"/>
      <c r="G73" s="49"/>
      <c r="I73" s="35">
        <f t="shared" si="19"/>
        <v>0.1935</v>
      </c>
      <c r="K73" s="35">
        <f t="shared" si="20"/>
        <v>0.2295</v>
      </c>
      <c r="M73" s="35">
        <f t="shared" si="21"/>
        <v>0.639</v>
      </c>
      <c r="O73" s="35">
        <f t="shared" si="22"/>
        <v>0.45</v>
      </c>
      <c r="P73" s="16"/>
      <c r="Q73" s="49"/>
      <c r="S73" s="34">
        <f t="shared" si="14"/>
        <v>7.128831052961872E-18</v>
      </c>
      <c r="U73" s="34">
        <f t="shared" si="15"/>
        <v>0.0016426192576368408</v>
      </c>
      <c r="W73" s="34">
        <f t="shared" si="16"/>
        <v>0.0007391786659365784</v>
      </c>
      <c r="Y73" s="34">
        <f t="shared" si="17"/>
        <v>0.9983573807423634</v>
      </c>
      <c r="AA73" s="9">
        <f t="shared" si="18"/>
        <v>1.0000000000000002</v>
      </c>
      <c r="AB73" s="16"/>
      <c r="AC73" s="49"/>
      <c r="AE73" s="36">
        <f t="shared" si="23"/>
        <v>8.12058764036436</v>
      </c>
      <c r="AG73" s="36">
        <f t="shared" si="6"/>
        <v>8.526617022382542</v>
      </c>
      <c r="AI73" s="36">
        <f t="shared" si="7"/>
        <v>0</v>
      </c>
      <c r="AK73" s="36">
        <f t="shared" si="8"/>
        <v>0</v>
      </c>
      <c r="AL73" s="16"/>
      <c r="AN73" s="36">
        <f t="shared" si="24"/>
        <v>16.6472046627469</v>
      </c>
      <c r="AO73" s="16"/>
      <c r="AP73" s="49"/>
      <c r="AR73" s="45">
        <f t="shared" si="25"/>
        <v>9.398046779217176E-19</v>
      </c>
      <c r="AT73" s="45">
        <f t="shared" si="26"/>
        <v>0.00017594606554122703</v>
      </c>
      <c r="AV73" s="45">
        <f t="shared" si="27"/>
        <v>-1.2180881460546488E-05</v>
      </c>
      <c r="AW73" s="16"/>
      <c r="AY73" s="45">
        <f t="shared" si="13"/>
        <v>0.00016376518408068149</v>
      </c>
      <c r="AZ73" s="16"/>
    </row>
    <row r="74" spans="1:52" ht="15">
      <c r="A74" s="16"/>
      <c r="C74" s="4">
        <f t="shared" si="0"/>
        <v>102</v>
      </c>
      <c r="D74" s="4"/>
      <c r="E74" s="4">
        <v>62</v>
      </c>
      <c r="F74" s="16"/>
      <c r="G74" s="49"/>
      <c r="I74" s="35">
        <f t="shared" si="19"/>
        <v>0.198</v>
      </c>
      <c r="K74" s="35">
        <f t="shared" si="20"/>
        <v>0.234</v>
      </c>
      <c r="M74" s="35">
        <f t="shared" si="21"/>
        <v>0.648</v>
      </c>
      <c r="O74" s="35">
        <f t="shared" si="22"/>
        <v>0.45</v>
      </c>
      <c r="P74" s="16"/>
      <c r="Q74" s="49"/>
      <c r="S74" s="34">
        <f t="shared" si="14"/>
        <v>1.1940792013711134E-18</v>
      </c>
      <c r="U74" s="34">
        <f t="shared" si="15"/>
        <v>0.0012656381380091904</v>
      </c>
      <c r="W74" s="34">
        <f t="shared" si="16"/>
        <v>0.0005695371621041357</v>
      </c>
      <c r="Y74" s="34">
        <f t="shared" si="17"/>
        <v>0.998734361861991</v>
      </c>
      <c r="AA74" s="9">
        <f t="shared" si="18"/>
        <v>1.0000000000000002</v>
      </c>
      <c r="AB74" s="16"/>
      <c r="AC74" s="49"/>
      <c r="AE74" s="36">
        <f t="shared" si="23"/>
        <v>6.074672598932757</v>
      </c>
      <c r="AG74" s="36">
        <f t="shared" si="6"/>
        <v>6.37840622887939</v>
      </c>
      <c r="AI74" s="36">
        <f t="shared" si="7"/>
        <v>0</v>
      </c>
      <c r="AK74" s="36">
        <f t="shared" si="8"/>
        <v>0</v>
      </c>
      <c r="AL74" s="16"/>
      <c r="AN74" s="36">
        <f t="shared" si="24"/>
        <v>12.453078827812147</v>
      </c>
      <c r="AO74" s="16"/>
      <c r="AP74" s="49"/>
      <c r="AR74" s="45">
        <f t="shared" si="25"/>
        <v>1.528323141280463E-19</v>
      </c>
      <c r="AT74" s="45">
        <f t="shared" si="26"/>
        <v>0.00013161790631020963</v>
      </c>
      <c r="AV74" s="45">
        <f t="shared" si="27"/>
        <v>-9.11200889839913E-06</v>
      </c>
      <c r="AW74" s="16"/>
      <c r="AY74" s="45">
        <f t="shared" si="13"/>
        <v>0.00012250589741181066</v>
      </c>
      <c r="AZ74" s="16"/>
    </row>
    <row r="75" spans="1:52" ht="15">
      <c r="A75" s="16"/>
      <c r="C75" s="4">
        <f t="shared" si="0"/>
        <v>103</v>
      </c>
      <c r="D75" s="4"/>
      <c r="E75" s="4">
        <v>63</v>
      </c>
      <c r="F75" s="16"/>
      <c r="G75" s="49"/>
      <c r="I75" s="35">
        <f t="shared" si="19"/>
        <v>0.2025</v>
      </c>
      <c r="K75" s="35">
        <f t="shared" si="20"/>
        <v>0.23850000000000002</v>
      </c>
      <c r="M75" s="35">
        <f t="shared" si="21"/>
        <v>0.657</v>
      </c>
      <c r="O75" s="35">
        <f t="shared" si="22"/>
        <v>0.45</v>
      </c>
      <c r="P75" s="16"/>
      <c r="Q75" s="49"/>
      <c r="S75" s="34">
        <f t="shared" si="14"/>
        <v>1.8388819701115142E-19</v>
      </c>
      <c r="U75" s="34">
        <f t="shared" si="15"/>
        <v>0.0009694788137150406</v>
      </c>
      <c r="W75" s="34">
        <f t="shared" si="16"/>
        <v>0.0004362654661717683</v>
      </c>
      <c r="Y75" s="34">
        <f t="shared" si="17"/>
        <v>0.9990305211862852</v>
      </c>
      <c r="AA75" s="9">
        <f t="shared" si="18"/>
        <v>1.0000000000000002</v>
      </c>
      <c r="AB75" s="16"/>
      <c r="AC75" s="49"/>
      <c r="AE75" s="36">
        <f t="shared" si="23"/>
        <v>4.517669136682032</v>
      </c>
      <c r="AG75" s="36">
        <f t="shared" si="6"/>
        <v>4.7435525935161325</v>
      </c>
      <c r="AI75" s="36">
        <f t="shared" si="7"/>
        <v>0</v>
      </c>
      <c r="AK75" s="36">
        <f t="shared" si="8"/>
        <v>0</v>
      </c>
      <c r="AL75" s="16"/>
      <c r="AN75" s="36">
        <f t="shared" si="24"/>
        <v>9.261221730198164</v>
      </c>
      <c r="AO75" s="16"/>
      <c r="AP75" s="49"/>
      <c r="AR75" s="45">
        <f t="shared" si="25"/>
        <v>2.2850656675455456E-20</v>
      </c>
      <c r="AT75" s="45">
        <f t="shared" si="26"/>
        <v>9.788283129477733E-05</v>
      </c>
      <c r="AV75" s="45">
        <f t="shared" si="27"/>
        <v>-6.7765037050230465E-06</v>
      </c>
      <c r="AW75" s="16"/>
      <c r="AY75" s="45">
        <f t="shared" si="13"/>
        <v>9.11063275897543E-05</v>
      </c>
      <c r="AZ75" s="16"/>
    </row>
    <row r="76" spans="1:52" ht="15">
      <c r="A76" s="16"/>
      <c r="C76" s="4">
        <f aca="true" t="shared" si="28" ref="C76:C82">start_age+cycle</f>
        <v>104</v>
      </c>
      <c r="D76" s="4"/>
      <c r="E76" s="4">
        <v>64</v>
      </c>
      <c r="F76" s="16"/>
      <c r="G76" s="49"/>
      <c r="I76" s="35">
        <f aca="true" t="shared" si="29" ref="I76:I82">HR_die_new_drug*VLOOKUP(age,prob_die_healthy,2)</f>
        <v>0.20700000000000002</v>
      </c>
      <c r="K76" s="35">
        <f aca="true" t="shared" si="30" ref="K76:K82">HR_disease_new_drug*VLOOKUP(age,prob_die_disease,2)</f>
        <v>0.24300000000000002</v>
      </c>
      <c r="M76" s="35">
        <f aca="true" t="shared" si="31" ref="M76:M82">HR_disease_new_drug*VLOOKUP(age,prob_disease,2)</f>
        <v>0.666</v>
      </c>
      <c r="O76" s="35">
        <f aca="true" t="shared" si="32" ref="O76:O82">HR_hosp_new_drug*VLOOKUP(age,prob_hosp_disease,2)</f>
        <v>0.45</v>
      </c>
      <c r="P76" s="16"/>
      <c r="Q76" s="49"/>
      <c r="S76" s="34">
        <f t="shared" si="14"/>
        <v>2.5836291680066757E-20</v>
      </c>
      <c r="U76" s="34">
        <f t="shared" si="15"/>
        <v>0.0007382581166440036</v>
      </c>
      <c r="W76" s="34">
        <f t="shared" si="16"/>
        <v>0.00033221615248980163</v>
      </c>
      <c r="Y76" s="34">
        <f t="shared" si="17"/>
        <v>0.9992617418833563</v>
      </c>
      <c r="AA76" s="9">
        <f t="shared" si="18"/>
        <v>1.0000000000000002</v>
      </c>
      <c r="AB76" s="16"/>
      <c r="AC76" s="49"/>
      <c r="AE76" s="36">
        <f aca="true" t="shared" si="33" ref="AE76:AE82">(S76*Cost_new_drug+U76*Cost_new_drug)/(1+Discount_Rate)^cycle</f>
        <v>3.340004900566376</v>
      </c>
      <c r="AG76" s="36">
        <f aca="true" t="shared" si="34" ref="AG76:AG82">(W76*Cost_hospitalization)/(1+Discount_Rate)^cycle</f>
        <v>3.5070051455946953</v>
      </c>
      <c r="AI76" s="36">
        <f aca="true" t="shared" si="35" ref="AI76:AI82">IF(study_perspective=1,0,IF(age&lt;65,(W76*length_of_stay*Cost_hospitalization)/(1+Discount_Rate)^cycle,0))</f>
        <v>0</v>
      </c>
      <c r="AK76" s="36">
        <f aca="true" t="shared" si="36" ref="AK76:AK82">IF(study_perspective=1,0,IF(age&lt;65,(Y76*mean_annual_wage)/(1+Discount_Rate)^cycle,0))</f>
        <v>0</v>
      </c>
      <c r="AL76" s="16"/>
      <c r="AN76" s="36">
        <f aca="true" t="shared" si="37" ref="AN76:AN82">AE76+AG76+AI76+AK76</f>
        <v>6.8470100461610715</v>
      </c>
      <c r="AO76" s="16"/>
      <c r="AP76" s="49"/>
      <c r="AR76" s="45">
        <f aca="true" t="shared" si="38" ref="AR76:AR82">S76*Utility_healthy/(1+Discount_Rate)^cycle</f>
        <v>3.11700705136067E-21</v>
      </c>
      <c r="AT76" s="45">
        <f aca="true" t="shared" si="39" ref="AT76:AT82">U76*Utility_disease/(1+Discount_Rate)^cycle</f>
        <v>7.236677284560482E-05</v>
      </c>
      <c r="AV76" s="45">
        <f aca="true" t="shared" si="40" ref="AV76:AV82">W76*-Utility_decrement_hospitalization/(1+Discount_Rate)^cycle</f>
        <v>-5.010007350849565E-06</v>
      </c>
      <c r="AW76" s="16"/>
      <c r="AY76" s="45">
        <f t="shared" si="13"/>
        <v>6.735676549475525E-05</v>
      </c>
      <c r="AZ76" s="16"/>
    </row>
    <row r="77" spans="1:52" ht="15">
      <c r="A77" s="16"/>
      <c r="C77" s="4">
        <f t="shared" si="28"/>
        <v>105</v>
      </c>
      <c r="D77" s="4"/>
      <c r="E77" s="4">
        <v>65</v>
      </c>
      <c r="F77" s="16"/>
      <c r="G77" s="49"/>
      <c r="I77" s="35">
        <f t="shared" si="29"/>
        <v>0.2115</v>
      </c>
      <c r="K77" s="35">
        <f t="shared" si="30"/>
        <v>0.24750000000000003</v>
      </c>
      <c r="M77" s="35">
        <f t="shared" si="31"/>
        <v>0.675</v>
      </c>
      <c r="O77" s="35">
        <f t="shared" si="32"/>
        <v>0.45</v>
      </c>
      <c r="P77" s="16"/>
      <c r="Q77" s="49"/>
      <c r="S77" s="34">
        <f t="shared" si="14"/>
        <v>3.2812090433684787E-21</v>
      </c>
      <c r="U77" s="34">
        <f t="shared" si="15"/>
        <v>0.0005588613942995107</v>
      </c>
      <c r="W77" s="34">
        <f t="shared" si="16"/>
        <v>0.0002514876274347798</v>
      </c>
      <c r="Y77" s="34">
        <f t="shared" si="17"/>
        <v>0.9994411386057007</v>
      </c>
      <c r="AA77" s="9">
        <f t="shared" si="18"/>
        <v>1.0000000000000002</v>
      </c>
      <c r="AB77" s="16"/>
      <c r="AC77" s="49"/>
      <c r="AE77" s="36">
        <f t="shared" si="33"/>
        <v>2.4547414657560647</v>
      </c>
      <c r="AG77" s="36">
        <f t="shared" si="34"/>
        <v>2.577478539043868</v>
      </c>
      <c r="AI77" s="36">
        <f t="shared" si="35"/>
        <v>0</v>
      </c>
      <c r="AK77" s="36">
        <f t="shared" si="36"/>
        <v>0</v>
      </c>
      <c r="AL77" s="16"/>
      <c r="AN77" s="36">
        <f t="shared" si="37"/>
        <v>5.032220004799933</v>
      </c>
      <c r="AO77" s="16"/>
      <c r="AP77" s="49"/>
      <c r="AR77" s="45">
        <f t="shared" si="38"/>
        <v>3.843299956532089E-22</v>
      </c>
      <c r="AT77" s="45">
        <f t="shared" si="39"/>
        <v>5.318606509138141E-05</v>
      </c>
      <c r="AV77" s="45">
        <f t="shared" si="40"/>
        <v>-3.682112198634097E-06</v>
      </c>
      <c r="AW77" s="16"/>
      <c r="AY77" s="45">
        <f aca="true" t="shared" si="41" ref="AY77:AY82">AR77+AT77+AV77</f>
        <v>4.9503952892747316E-05</v>
      </c>
      <c r="AZ77" s="16"/>
    </row>
    <row r="78" spans="1:52" ht="15">
      <c r="A78" s="16"/>
      <c r="C78" s="4">
        <f t="shared" si="28"/>
        <v>106</v>
      </c>
      <c r="D78" s="4"/>
      <c r="E78" s="4">
        <v>66</v>
      </c>
      <c r="F78" s="16"/>
      <c r="G78" s="49"/>
      <c r="I78" s="35">
        <f t="shared" si="29"/>
        <v>0.216</v>
      </c>
      <c r="K78" s="35">
        <f t="shared" si="30"/>
        <v>0.25200000000000006</v>
      </c>
      <c r="M78" s="35">
        <f t="shared" si="31"/>
        <v>0.684</v>
      </c>
      <c r="O78" s="35">
        <f t="shared" si="32"/>
        <v>0.45</v>
      </c>
      <c r="P78" s="16"/>
      <c r="Q78" s="49"/>
      <c r="S78" s="34">
        <f>S77+(0)-(S77*(I77+M77))</f>
        <v>3.7241722642232216E-22</v>
      </c>
      <c r="U78" s="34">
        <f>U77+(S77*M77)-(U77*K77)</f>
        <v>0.0004205431992103818</v>
      </c>
      <c r="W78" s="34">
        <f>U78*O78</f>
        <v>0.00018924443964467183</v>
      </c>
      <c r="Y78" s="34">
        <f>Y77+S77*I77+U77*K77</f>
        <v>0.9995794568007899</v>
      </c>
      <c r="AA78" s="9">
        <f>S78+U78+Y78</f>
        <v>1.0000000000000002</v>
      </c>
      <c r="AB78" s="16"/>
      <c r="AC78" s="49"/>
      <c r="AE78" s="36">
        <f t="shared" si="33"/>
        <v>1.7933912164868338</v>
      </c>
      <c r="AG78" s="36">
        <f t="shared" si="34"/>
        <v>1.8830607773111758</v>
      </c>
      <c r="AI78" s="36">
        <f t="shared" si="35"/>
        <v>0</v>
      </c>
      <c r="AK78" s="36">
        <f t="shared" si="36"/>
        <v>0</v>
      </c>
      <c r="AL78" s="16"/>
      <c r="AN78" s="36">
        <f t="shared" si="37"/>
        <v>3.6764519937980094</v>
      </c>
      <c r="AO78" s="16"/>
      <c r="AP78" s="49"/>
      <c r="AR78" s="45">
        <f t="shared" si="38"/>
        <v>4.235092670547494E-23</v>
      </c>
      <c r="AT78" s="45">
        <f t="shared" si="39"/>
        <v>3.885680969054807E-05</v>
      </c>
      <c r="AV78" s="45">
        <f t="shared" si="40"/>
        <v>-2.690086824730251E-06</v>
      </c>
      <c r="AW78" s="16"/>
      <c r="AY78" s="45">
        <f t="shared" si="41"/>
        <v>3.616672286581782E-05</v>
      </c>
      <c r="AZ78" s="16"/>
    </row>
    <row r="79" spans="1:52" ht="15">
      <c r="A79" s="16"/>
      <c r="C79" s="4">
        <f t="shared" si="28"/>
        <v>107</v>
      </c>
      <c r="D79" s="4"/>
      <c r="E79" s="4">
        <v>67</v>
      </c>
      <c r="F79" s="16"/>
      <c r="G79" s="49"/>
      <c r="I79" s="35">
        <f t="shared" si="29"/>
        <v>0.2205</v>
      </c>
      <c r="K79" s="35">
        <f t="shared" si="30"/>
        <v>0.2565</v>
      </c>
      <c r="M79" s="35">
        <f t="shared" si="31"/>
        <v>0.6930000000000001</v>
      </c>
      <c r="O79" s="35">
        <f t="shared" si="32"/>
        <v>0.45</v>
      </c>
      <c r="P79" s="16"/>
      <c r="Q79" s="49"/>
      <c r="S79" s="34">
        <f>S78+(0)-(S78*(I78+M78))</f>
        <v>3.7241722642232225E-23</v>
      </c>
      <c r="U79" s="34">
        <f>U78+(S78*M78)-(U78*K78)</f>
        <v>0.00031456631300936556</v>
      </c>
      <c r="W79" s="34">
        <f>U79*O79</f>
        <v>0.0001415548408542145</v>
      </c>
      <c r="Y79" s="34">
        <f>Y78+S78*I78+U78*K78</f>
        <v>0.9996854336869909</v>
      </c>
      <c r="AA79" s="9">
        <f>S79+U79+Y79</f>
        <v>1.0000000000000002</v>
      </c>
      <c r="AB79" s="16"/>
      <c r="AC79" s="49"/>
      <c r="AE79" s="36">
        <f t="shared" si="33"/>
        <v>1.3023850776040307</v>
      </c>
      <c r="AG79" s="36">
        <f t="shared" si="34"/>
        <v>1.3675043314842321</v>
      </c>
      <c r="AI79" s="36">
        <f t="shared" si="35"/>
        <v>0</v>
      </c>
      <c r="AK79" s="36">
        <f t="shared" si="36"/>
        <v>0</v>
      </c>
      <c r="AL79" s="16"/>
      <c r="AN79" s="36">
        <f t="shared" si="37"/>
        <v>2.6698894090882628</v>
      </c>
      <c r="AO79" s="16"/>
      <c r="AP79" s="49"/>
      <c r="AR79" s="45">
        <f t="shared" si="38"/>
        <v>4.1117404568422275E-24</v>
      </c>
      <c r="AT79" s="45">
        <f t="shared" si="39"/>
        <v>2.821834334808733E-05</v>
      </c>
      <c r="AV79" s="45">
        <f t="shared" si="40"/>
        <v>-1.953577616406046E-06</v>
      </c>
      <c r="AW79" s="16"/>
      <c r="AY79" s="45">
        <f t="shared" si="41"/>
        <v>2.6264765731681284E-05</v>
      </c>
      <c r="AZ79" s="16"/>
    </row>
    <row r="80" spans="1:52" ht="15">
      <c r="A80" s="16"/>
      <c r="C80" s="4">
        <f t="shared" si="28"/>
        <v>108</v>
      </c>
      <c r="D80" s="4"/>
      <c r="E80" s="4">
        <v>68</v>
      </c>
      <c r="F80" s="16"/>
      <c r="G80" s="49"/>
      <c r="I80" s="35">
        <f t="shared" si="29"/>
        <v>0.225</v>
      </c>
      <c r="K80" s="35">
        <f t="shared" si="30"/>
        <v>0.261</v>
      </c>
      <c r="M80" s="35">
        <f t="shared" si="31"/>
        <v>0.7020000000000001</v>
      </c>
      <c r="O80" s="35">
        <f t="shared" si="32"/>
        <v>0.45</v>
      </c>
      <c r="P80" s="16"/>
      <c r="Q80" s="49"/>
      <c r="S80" s="34">
        <f>S79+(0)-(S79*(I79+M79))</f>
        <v>3.2214090085530866E-24</v>
      </c>
      <c r="U80" s="34">
        <f>U79+(S79*M79)-(U79*K79)</f>
        <v>0.00023388005372246328</v>
      </c>
      <c r="W80" s="34">
        <f>U80*O80</f>
        <v>0.00010524602417510848</v>
      </c>
      <c r="Y80" s="34">
        <f>Y79+S79*I79+U79*K79</f>
        <v>0.9997661199462778</v>
      </c>
      <c r="AA80" s="9">
        <f>S80+U80+Y80</f>
        <v>1.0000000000000002</v>
      </c>
      <c r="AB80" s="16"/>
      <c r="AC80" s="49"/>
      <c r="AE80" s="36">
        <f t="shared" si="33"/>
        <v>0.9401197137850454</v>
      </c>
      <c r="AG80" s="36">
        <f t="shared" si="34"/>
        <v>0.9871256994742977</v>
      </c>
      <c r="AI80" s="36">
        <f t="shared" si="35"/>
        <v>0</v>
      </c>
      <c r="AK80" s="36">
        <f t="shared" si="36"/>
        <v>0</v>
      </c>
      <c r="AL80" s="16"/>
      <c r="AN80" s="36">
        <f t="shared" si="37"/>
        <v>1.9272454132593433</v>
      </c>
      <c r="AO80" s="16"/>
      <c r="AP80" s="49"/>
      <c r="AR80" s="45">
        <f t="shared" si="38"/>
        <v>3.4530635875422593E-25</v>
      </c>
      <c r="AT80" s="45">
        <f t="shared" si="39"/>
        <v>2.0369260465342648E-05</v>
      </c>
      <c r="AV80" s="45">
        <f t="shared" si="40"/>
        <v>-1.4101795706775682E-06</v>
      </c>
      <c r="AW80" s="16"/>
      <c r="AY80" s="45">
        <f t="shared" si="41"/>
        <v>1.895908089466508E-05</v>
      </c>
      <c r="AZ80" s="16"/>
    </row>
    <row r="81" spans="1:52" ht="15">
      <c r="A81" s="16"/>
      <c r="C81" s="4">
        <f t="shared" si="28"/>
        <v>109</v>
      </c>
      <c r="D81" s="4"/>
      <c r="E81" s="4">
        <v>69</v>
      </c>
      <c r="F81" s="16"/>
      <c r="G81" s="49"/>
      <c r="I81" s="35">
        <f t="shared" si="29"/>
        <v>0.2295</v>
      </c>
      <c r="K81" s="35">
        <f t="shared" si="30"/>
        <v>0.2655</v>
      </c>
      <c r="M81" s="35">
        <f t="shared" si="31"/>
        <v>0.7110000000000001</v>
      </c>
      <c r="O81" s="35">
        <f t="shared" si="32"/>
        <v>0.45</v>
      </c>
      <c r="P81" s="16"/>
      <c r="Q81" s="49"/>
      <c r="S81" s="34">
        <f>S80+(0)-(S80*(I80+M80))</f>
        <v>2.3516285762437504E-25</v>
      </c>
      <c r="U81" s="34">
        <f>U80+(S80*M80)-(U80*K80)</f>
        <v>0.00017283735970090037</v>
      </c>
      <c r="W81" s="34">
        <f>U81*O81</f>
        <v>7.777681186540517E-05</v>
      </c>
      <c r="Y81" s="34">
        <f>Y80+S80*I80+U80*K80</f>
        <v>0.9998271626402994</v>
      </c>
      <c r="AA81" s="9">
        <f>S81+U81+Y81</f>
        <v>1.0000000000000002</v>
      </c>
      <c r="AB81" s="16"/>
      <c r="AC81" s="49"/>
      <c r="AE81" s="36">
        <f t="shared" si="33"/>
        <v>0.6745130762011152</v>
      </c>
      <c r="AG81" s="36">
        <f t="shared" si="34"/>
        <v>0.708238730011171</v>
      </c>
      <c r="AI81" s="36">
        <f t="shared" si="35"/>
        <v>0</v>
      </c>
      <c r="AK81" s="36">
        <f t="shared" si="36"/>
        <v>0</v>
      </c>
      <c r="AL81" s="16"/>
      <c r="AN81" s="36">
        <f t="shared" si="37"/>
        <v>1.382751806212286</v>
      </c>
      <c r="AO81" s="16"/>
      <c r="AP81" s="49"/>
      <c r="AR81" s="45">
        <f t="shared" si="38"/>
        <v>2.447316911559074E-26</v>
      </c>
      <c r="AT81" s="45">
        <f t="shared" si="39"/>
        <v>1.4614449984357496E-05</v>
      </c>
      <c r="AV81" s="45">
        <f t="shared" si="40"/>
        <v>-1.0117696143016728E-06</v>
      </c>
      <c r="AW81" s="16"/>
      <c r="AY81" s="45">
        <f t="shared" si="41"/>
        <v>1.3602680370055823E-05</v>
      </c>
      <c r="AZ81" s="16"/>
    </row>
    <row r="82" spans="1:52" ht="15">
      <c r="A82" s="16"/>
      <c r="C82" s="4">
        <f t="shared" si="28"/>
        <v>110</v>
      </c>
      <c r="D82" s="4"/>
      <c r="E82" s="4">
        <v>70</v>
      </c>
      <c r="F82" s="16"/>
      <c r="G82" s="49"/>
      <c r="I82" s="35">
        <f t="shared" si="29"/>
        <v>0.234</v>
      </c>
      <c r="K82" s="35">
        <f t="shared" si="30"/>
        <v>0.27</v>
      </c>
      <c r="M82" s="35">
        <f t="shared" si="31"/>
        <v>0.7200000000000001</v>
      </c>
      <c r="O82" s="35">
        <f t="shared" si="32"/>
        <v>0.45</v>
      </c>
      <c r="P82" s="16"/>
      <c r="Q82" s="49"/>
      <c r="S82" s="34">
        <f>S81+(0)-(S81*(I81+M81))</f>
        <v>1.3992190028650282E-26</v>
      </c>
      <c r="U82" s="34">
        <f>U81+(S81*M81)-(U81*K81)</f>
        <v>0.00012694904070031132</v>
      </c>
      <c r="W82" s="34">
        <f>U82*O82</f>
        <v>5.7127068315140095E-05</v>
      </c>
      <c r="Y82" s="34">
        <f>Y81+S81*I81+U81*K81</f>
        <v>0.9998730509592999</v>
      </c>
      <c r="AA82" s="9">
        <f>S82+U82+Y82</f>
        <v>1.0000000000000002</v>
      </c>
      <c r="AB82" s="16"/>
      <c r="AC82" s="49"/>
      <c r="AE82" s="36">
        <f t="shared" si="33"/>
        <v>0.4809998587084651</v>
      </c>
      <c r="AG82" s="36">
        <f t="shared" si="34"/>
        <v>0.5050498516438884</v>
      </c>
      <c r="AI82" s="36">
        <f t="shared" si="35"/>
        <v>0</v>
      </c>
      <c r="AK82" s="36">
        <f t="shared" si="36"/>
        <v>0</v>
      </c>
      <c r="AL82" s="16"/>
      <c r="AN82" s="36">
        <f t="shared" si="37"/>
        <v>0.9860497103523536</v>
      </c>
      <c r="AO82" s="16"/>
      <c r="AP82" s="49"/>
      <c r="AR82" s="45">
        <f t="shared" si="38"/>
        <v>1.4137413226967434E-27</v>
      </c>
      <c r="AT82" s="45">
        <f t="shared" si="39"/>
        <v>1.042166360535008E-05</v>
      </c>
      <c r="AV82" s="45">
        <f t="shared" si="40"/>
        <v>-7.214997880626977E-07</v>
      </c>
      <c r="AW82" s="16"/>
      <c r="AY82" s="45">
        <f t="shared" si="41"/>
        <v>9.70016381728738E-06</v>
      </c>
      <c r="AZ82" s="16"/>
    </row>
    <row r="83" spans="3:5" ht="15">
      <c r="C83" s="4"/>
      <c r="D83" s="4"/>
      <c r="E83" s="4"/>
    </row>
    <row r="84" spans="3:5" ht="15">
      <c r="C84" s="4"/>
      <c r="D84" s="4"/>
      <c r="E84" s="4"/>
    </row>
    <row r="85" spans="3:5" ht="15">
      <c r="C85" s="4"/>
      <c r="D85" s="4"/>
      <c r="E85" s="4"/>
    </row>
    <row r="86" spans="3:5" ht="15">
      <c r="C86" s="4"/>
      <c r="D86" s="4"/>
      <c r="E86" s="4"/>
    </row>
    <row r="87" spans="3:5" ht="15">
      <c r="C87" s="4"/>
      <c r="D87" s="4"/>
      <c r="E87" s="4"/>
    </row>
    <row r="88" spans="3:5" ht="15">
      <c r="C88" s="4"/>
      <c r="D88" s="4"/>
      <c r="E88" s="4"/>
    </row>
    <row r="89" spans="3:5" ht="15">
      <c r="C89" s="4"/>
      <c r="D89" s="4"/>
      <c r="E89" s="4"/>
    </row>
    <row r="90" spans="3:5" ht="15">
      <c r="C90" s="4"/>
      <c r="D90" s="4"/>
      <c r="E90" s="4"/>
    </row>
    <row r="91" spans="3:5" ht="15">
      <c r="C91" s="4"/>
      <c r="D91" s="4"/>
      <c r="E91" s="4"/>
    </row>
    <row r="92" spans="3:5" ht="15">
      <c r="C92" s="4"/>
      <c r="D92" s="4"/>
      <c r="E92" s="4"/>
    </row>
    <row r="93" spans="3:5" ht="15">
      <c r="C93" s="4"/>
      <c r="D93" s="4"/>
      <c r="E93" s="4"/>
    </row>
    <row r="94" spans="3:5" ht="15">
      <c r="C94" s="4"/>
      <c r="D94" s="4"/>
      <c r="E94" s="4"/>
    </row>
    <row r="95" spans="3:5" ht="15">
      <c r="C95" s="4"/>
      <c r="D95" s="4"/>
      <c r="E95" s="4"/>
    </row>
    <row r="96" spans="3:5" ht="15">
      <c r="C96" s="4"/>
      <c r="D96" s="4"/>
      <c r="E96" s="4"/>
    </row>
    <row r="97" spans="3:5" ht="15">
      <c r="C97" s="4"/>
      <c r="D97" s="4"/>
      <c r="E97" s="4"/>
    </row>
    <row r="98" spans="3:5" ht="15">
      <c r="C98" s="4"/>
      <c r="D98" s="4"/>
      <c r="E98" s="4"/>
    </row>
    <row r="99" spans="3:5" ht="15">
      <c r="C99" s="4"/>
      <c r="D99" s="4"/>
      <c r="E99" s="4"/>
    </row>
    <row r="100" spans="3:5" ht="15">
      <c r="C100" s="4"/>
      <c r="D100" s="4"/>
      <c r="E100" s="4"/>
    </row>
    <row r="101" spans="3:5" ht="15">
      <c r="C101" s="4"/>
      <c r="D101" s="4"/>
      <c r="E101" s="4"/>
    </row>
    <row r="102" spans="3:5" ht="15">
      <c r="C102" s="4"/>
      <c r="D102" s="4"/>
      <c r="E102" s="4"/>
    </row>
    <row r="103" spans="3:5" ht="15">
      <c r="C103" s="4"/>
      <c r="D103" s="4"/>
      <c r="E103" s="4"/>
    </row>
    <row r="104" spans="3:5" ht="15">
      <c r="C104" s="4"/>
      <c r="D104" s="4"/>
      <c r="E104" s="4"/>
    </row>
    <row r="105" spans="3:5" ht="15">
      <c r="C105" s="4"/>
      <c r="D105" s="4"/>
      <c r="E105" s="4"/>
    </row>
    <row r="106" spans="3:5" ht="15">
      <c r="C106" s="4"/>
      <c r="D106" s="4"/>
      <c r="E106" s="4"/>
    </row>
    <row r="107" spans="3:5" ht="15">
      <c r="C107" s="4"/>
      <c r="D107" s="4"/>
      <c r="E107" s="4"/>
    </row>
    <row r="108" spans="3:5" ht="15">
      <c r="C108" s="4"/>
      <c r="D108" s="4"/>
      <c r="E108" s="4"/>
    </row>
    <row r="109" spans="3:5" ht="15">
      <c r="C109" s="4"/>
      <c r="D109" s="4"/>
      <c r="E109" s="4"/>
    </row>
    <row r="110" spans="3:5" ht="15">
      <c r="C110" s="4"/>
      <c r="D110" s="4"/>
      <c r="E110" s="4"/>
    </row>
    <row r="111" spans="3:5" ht="15">
      <c r="C111" s="4"/>
      <c r="D111" s="4"/>
      <c r="E111" s="4"/>
    </row>
    <row r="112" spans="3:5" ht="15">
      <c r="C112" s="4"/>
      <c r="D112" s="4"/>
      <c r="E112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Karolinska Insitutet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krineo</dc:creator>
  <cp:keywords/>
  <dc:description/>
  <cp:lastModifiedBy>krineo</cp:lastModifiedBy>
  <dcterms:created xsi:type="dcterms:W3CDTF">2011-10-03T19:14:51Z</dcterms:created>
  <dcterms:modified xsi:type="dcterms:W3CDTF">2012-01-10T20:03:41Z</dcterms:modified>
  <cp:category/>
  <cp:version/>
  <cp:contentType/>
  <cp:contentStatus/>
</cp:coreProperties>
</file>